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3\"/>
    </mc:Choice>
  </mc:AlternateContent>
  <xr:revisionPtr revIDLastSave="0" documentId="13_ncr:1_{5C45F8E4-5DA1-47EE-B493-F64399DE1F24}" xr6:coauthVersionLast="47" xr6:coauthVersionMax="47" xr10:uidLastSave="{00000000-0000-0000-0000-000000000000}"/>
  <workbookProtection workbookAlgorithmName="SHA-512" workbookHashValue="XNbypEOmBmemJgkquJJnqOz0PnD1zAKC3EayTaZ663YYY1/fjRsmG1kNBFXKJcyiqq0juiIkyeWlEiBtC1byMw==" workbookSaltValue="9TcABBz+R+sbphxyMJmKWA==" workbookSpinCount="100000" lockStructure="1"/>
  <bookViews>
    <workbookView xWindow="-108" yWindow="-108" windowWidth="23256" windowHeight="12576"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Input!$C$50:$C$53</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C35" i="18"/>
  <c r="B35" i="18"/>
  <c r="F35" i="18" l="1"/>
  <c r="B8" i="18" l="1"/>
  <c r="B34" i="18" s="1"/>
  <c r="B20" i="18" l="1"/>
  <c r="B24" i="18"/>
  <c r="B29" i="18"/>
  <c r="B12" i="18"/>
  <c r="B16" i="18"/>
  <c r="B38" i="18"/>
  <c r="D41" i="21"/>
  <c r="A2" i="18" l="1"/>
  <c r="E31" i="18" l="1"/>
  <c r="E30" i="18"/>
  <c r="C30" i="18"/>
  <c r="L55" i="21"/>
  <c r="L54" i="21"/>
  <c r="L53" i="21"/>
  <c r="L52" i="21"/>
  <c r="L51" i="21"/>
  <c r="H13" i="21"/>
  <c r="H12" i="21"/>
  <c r="E26" i="18"/>
  <c r="E25" i="18"/>
  <c r="C25" i="18"/>
  <c r="L35" i="21"/>
  <c r="L34" i="21"/>
  <c r="L33" i="21"/>
  <c r="L32" i="21"/>
  <c r="L31" i="21"/>
  <c r="E21" i="18"/>
  <c r="C21" i="18"/>
  <c r="E17" i="18"/>
  <c r="C17" i="18"/>
  <c r="L23" i="21"/>
  <c r="L22" i="21"/>
  <c r="L21" i="21"/>
  <c r="L20" i="21"/>
  <c r="L19" i="21"/>
  <c r="L18" i="21"/>
  <c r="L17" i="21"/>
  <c r="L16" i="21"/>
  <c r="E13" i="18"/>
  <c r="C13" i="18"/>
  <c r="L41" i="21"/>
  <c r="L40" i="21"/>
  <c r="B18" i="18" l="1"/>
  <c r="B14" i="18"/>
  <c r="K9" i="21"/>
  <c r="J9" i="21"/>
  <c r="I9" i="21"/>
  <c r="H2" i="21" s="1"/>
  <c r="K12" i="21" l="1"/>
  <c r="J2" i="21" s="1"/>
  <c r="J12" i="21"/>
  <c r="I2" i="21" s="1"/>
  <c r="E45" i="21" l="1"/>
  <c r="E47" i="21"/>
  <c r="E46" i="21"/>
  <c r="E19" i="21"/>
  <c r="B30" i="18" s="1"/>
  <c r="F30" i="18" s="1"/>
  <c r="E42" i="21"/>
  <c r="B13" i="18" s="1"/>
  <c r="F13" i="18" s="1"/>
  <c r="E34" i="21"/>
  <c r="J20" i="21"/>
  <c r="J23" i="21"/>
  <c r="J21" i="21"/>
  <c r="E41" i="21"/>
  <c r="B17" i="18" s="1"/>
  <c r="E40" i="21"/>
  <c r="F17" i="18" s="1"/>
  <c r="E24" i="21"/>
  <c r="E39" i="18" l="1"/>
  <c r="C39" i="18"/>
  <c r="E9" i="18"/>
  <c r="C9" i="18"/>
  <c r="E97" i="21" l="1"/>
  <c r="E95" i="21"/>
  <c r="D53" i="21"/>
  <c r="E79" i="21"/>
  <c r="B21" i="18" s="1"/>
  <c r="F21" i="18" s="1"/>
  <c r="E13" i="21"/>
  <c r="E78" i="21" l="1"/>
  <c r="E23" i="21"/>
  <c r="E20" i="21"/>
  <c r="E21" i="21"/>
  <c r="E61" i="21"/>
  <c r="E52" i="21"/>
  <c r="B39" i="18" s="1"/>
  <c r="F39" i="18" s="1"/>
  <c r="E27" i="21"/>
  <c r="E17" i="21"/>
  <c r="E10" i="21"/>
  <c r="B9" i="18" s="1"/>
  <c r="F9" i="18" s="1"/>
  <c r="E53" i="21"/>
  <c r="E35" i="21"/>
  <c r="E28" i="21"/>
  <c r="E18" i="21"/>
  <c r="E11" i="21"/>
  <c r="E57" i="21"/>
  <c r="E36" i="21"/>
  <c r="E32" i="21"/>
  <c r="E22" i="21"/>
  <c r="E12" i="21"/>
  <c r="E59" i="21"/>
  <c r="E51" i="21"/>
  <c r="E33" i="21"/>
  <c r="B25" i="18" l="1"/>
  <c r="F25" i="18" s="1"/>
</calcChain>
</file>

<file path=xl/sharedStrings.xml><?xml version="1.0" encoding="utf-8"?>
<sst xmlns="http://schemas.openxmlformats.org/spreadsheetml/2006/main" count="246" uniqueCount="168">
  <si>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</si>
  <si>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</si>
  <si>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</si>
  <si>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</si>
  <si>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</si>
  <si>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</si>
  <si>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</si>
  <si>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</si>
  <si>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</si>
  <si>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</si>
  <si>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</si>
  <si>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</si>
  <si>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</si>
  <si>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</si>
  <si>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</si>
  <si>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</si>
  <si>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</si>
  <si>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</si>
  <si>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</si>
  <si>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</si>
  <si>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</si>
  <si>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</si>
  <si>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</si>
  <si>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</si>
  <si>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</si>
  <si>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</si>
  <si>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</si>
  <si>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</si>
  <si>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</si>
  <si>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</si>
  <si>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</si>
  <si>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</si>
  <si>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</si>
  <si>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</si>
  <si>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</si>
  <si>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</si>
  <si>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</si>
  <si>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</si>
  <si>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</si>
  <si>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</si>
  <si>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</si>
  <si>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</si>
  <si>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 xml:space="preserve">LNG truck loading service </t>
  </si>
  <si>
    <t xml:space="preserve">Truck cool down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</si>
  <si>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</si>
  <si>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</si>
  <si>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</si>
  <si>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</si>
  <si>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</si>
  <si>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</si>
  <si>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</si>
  <si>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</si>
  <si>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</si>
  <si>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</si>
  <si>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</si>
  <si>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</si>
  <si>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</si>
  <si>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</si>
  <si>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</si>
  <si>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</si>
  <si>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</si>
  <si>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</si>
  <si>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</si>
  <si>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</si>
  <si>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</si>
  <si>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</si>
  <si>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</si>
  <si>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</si>
  <si>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</si>
  <si>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</si>
  <si>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</si>
  <si>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</si>
  <si>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</si>
  <si>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</si>
  <si>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</si>
  <si>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</si>
  <si>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</si>
  <si>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</si>
  <si>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</si>
  <si>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</si>
  <si>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</si>
  <si>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</si>
  <si>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</si>
  <si>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</si>
  <si>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</si>
  <si>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</si>
  <si>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</si>
  <si>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</si>
  <si>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</si>
  <si>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</si>
  <si>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</si>
  <si>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</si>
  <si>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</si>
  <si>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</si>
  <si>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</si>
  <si>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</si>
  <si>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</si>
  <si>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</si>
  <si>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</si>
  <si>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</si>
  <si>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</si>
  <si>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</si>
  <si>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</si>
  <si>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</si>
  <si>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</si>
  <si>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</si>
  <si>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</si>
  <si>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</si>
  <si>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</si>
  <si>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</si>
  <si>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</si>
  <si>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</si>
  <si>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</si>
  <si>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</si>
  <si>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</si>
  <si>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</si>
  <si>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</si>
  <si>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</si>
  <si>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</si>
  <si>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</si>
  <si>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</si>
  <si>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</si>
  <si>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</si>
  <si>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</si>
  <si>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€/loading†</t>
  </si>
  <si>
    <t xml:space="preserve">  † A 10% discount applies to LNG truck loading services subcribed during the annual subscription window</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</si>
  <si>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</si>
  <si>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</si>
  <si>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</si>
  <si>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</si>
  <si>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</si>
  <si>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</si>
  <si>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</si>
  <si>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</si>
  <si>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</si>
  <si>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</si>
  <si>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</si>
  <si>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</si>
  <si>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</si>
  <si>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</si>
  <si>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</si>
  <si>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</si>
  <si>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</si>
  <si>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</si>
  <si>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</si>
  <si>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</si>
  <si>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r>
      <t>Disclaimer:</t>
    </r>
    <r>
      <rPr>
        <i/>
        <sz val="8"/>
        <color rgb="FF595959"/>
        <rFont val="Arial"/>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</si>
  <si>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</si>
  <si>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</si>
  <si>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</si>
  <si>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</si>
  <si>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</si>
  <si>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</si>
  <si>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</si>
  <si>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</si>
  <si>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</si>
  <si>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</si>
  <si>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</si>
  <si>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</si>
  <si>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</si>
  <si>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r>
      <t>Instructions:</t>
    </r>
    <r>
      <rPr>
        <sz val="8"/>
        <color rgb="FF595959"/>
        <rFont val="Arial"/>
        <family val="2"/>
      </rPr>
      <t xml:space="preserve">
"Light Green" fields must be filled from left to right in order to ensure a consistent calculation.</t>
    </r>
  </si>
  <si>
    <t>Liquefaction Services</t>
  </si>
  <si>
    <t>Backhaul Liquefaction</t>
  </si>
  <si>
    <t>Liquefaction</t>
  </si>
  <si>
    <t>Long Term BioLNG Capacity</t>
  </si>
  <si>
    <t>€/MWh/month</t>
  </si>
  <si>
    <t>Short Term BioLNG Capacity</t>
  </si>
  <si>
    <t>MWh/month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</si>
</sst>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58">
    <font>
      <sz val="10"/>
      <name val="Arial"/>
    </font>
    <font>
      <sz val="11"/>
      <color theme="1"/>
      <name val="Calibri"/>
      <family val="2"/>
      <scheme val="minor"/>
    </font>
    <font>
      <sz val="10"/>
      <name val="Arial"/>
      <family val="2"/>
    </font>
    <font>
      <sz val="8"/>
      <name val="Arial"/>
      <family val="2"/>
    </font>
    <font>
      <b/>
      <i/>
      <u/>
      <sz val="8"/>
      <name val="Arial"/>
      <family val="2"/>
    </font>
    <font>
      <sz val="10"/>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i/>
      <sz val="8"/>
      <color rgb="FF595959"/>
      <name val="Arial"/>
      <family val="2"/>
    </font>
    <font>
      <sz val="8"/>
      <color rgb="FF595959"/>
      <name val="Arial"/>
      <family val="2"/>
    </font>
    <font>
      <u/>
      <sz val="10"/>
      <color rgb="FF595959"/>
      <name val="Arial"/>
      <family val="2"/>
    </font>
    <font>
      <b/>
      <sz val="10"/>
      <color theme="0"/>
      <name val="Arial"/>
      <family val="2"/>
    </font>
    <font>
      <b/>
      <sz val="12"/>
      <color rgb="FF595959"/>
      <name val="Arial"/>
      <family val="2"/>
    </font>
  </fonts>
  <fills count="3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999999"/>
        <bgColor indexed="64"/>
      </patternFill>
    </fill>
    <fill>
      <patternFill patternType="solid">
        <fgColor rgb="FFFFD785"/>
        <bgColor indexed="64"/>
      </patternFill>
    </fill>
    <fill>
      <patternFill patternType="solid">
        <fgColor rgb="FFD3EFDE"/>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100">
    <xf numFmtId="0" fontId="0" fillId="0" borderId="0"/>
    <xf numFmtId="166" fontId="5"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5" fillId="4" borderId="15" applyNumberFormat="0" applyAlignment="0" applyProtection="0"/>
    <xf numFmtId="166" fontId="1" fillId="0" borderId="0" applyFont="0" applyFill="0" applyBorder="0" applyAlignment="0" applyProtection="0"/>
    <xf numFmtId="0" fontId="16" fillId="5" borderId="16" applyNumberFormat="0" applyAlignment="0" applyProtection="0"/>
    <xf numFmtId="171" fontId="17" fillId="0" borderId="0" applyFont="0" applyFill="0" applyBorder="0" applyAlignment="0" applyProtection="0"/>
    <xf numFmtId="0" fontId="18" fillId="0" borderId="17" applyNumberFormat="0" applyFill="0" applyAlignment="0" applyProtection="0"/>
    <xf numFmtId="0" fontId="19" fillId="6" borderId="0" applyNumberFormat="0" applyBorder="0" applyAlignment="0" applyProtection="0"/>
    <xf numFmtId="0" fontId="20" fillId="7" borderId="15" applyNumberFormat="0" applyAlignment="0" applyProtection="0"/>
    <xf numFmtId="164" fontId="2" fillId="0" borderId="0" applyFont="0" applyFill="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38" fontId="2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6" fillId="10" borderId="0" applyNumberFormat="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4" fontId="28" fillId="8" borderId="22" applyNumberFormat="0" applyProtection="0">
      <alignment vertical="center"/>
    </xf>
    <xf numFmtId="4" fontId="29" fillId="11" borderId="22" applyNumberFormat="0" applyProtection="0">
      <alignment vertical="center"/>
    </xf>
    <xf numFmtId="4" fontId="28" fillId="11" borderId="22" applyNumberFormat="0" applyProtection="0">
      <alignment horizontal="left" vertical="center" indent="1"/>
    </xf>
    <xf numFmtId="0" fontId="28" fillId="11" borderId="22" applyNumberFormat="0" applyProtection="0">
      <alignment horizontal="left" vertical="top" indent="1"/>
    </xf>
    <xf numFmtId="4" fontId="28" fillId="12" borderId="0" applyNumberFormat="0" applyProtection="0">
      <alignment horizontal="left" vertical="center" indent="1"/>
    </xf>
    <xf numFmtId="4" fontId="30" fillId="10" borderId="22" applyNumberFormat="0" applyProtection="0">
      <alignment horizontal="right" vertical="center"/>
    </xf>
    <xf numFmtId="4" fontId="30" fillId="13" borderId="22" applyNumberFormat="0" applyProtection="0">
      <alignment horizontal="right" vertical="center"/>
    </xf>
    <xf numFmtId="4" fontId="30" fillId="14" borderId="22" applyNumberFormat="0" applyProtection="0">
      <alignment horizontal="right" vertical="center"/>
    </xf>
    <xf numFmtId="4" fontId="30" fillId="15" borderId="22" applyNumberFormat="0" applyProtection="0">
      <alignment horizontal="right" vertical="center"/>
    </xf>
    <xf numFmtId="4" fontId="30" fillId="16" borderId="22" applyNumberFormat="0" applyProtection="0">
      <alignment horizontal="right" vertical="center"/>
    </xf>
    <xf numFmtId="4" fontId="30" fillId="17" borderId="22" applyNumberFormat="0" applyProtection="0">
      <alignment horizontal="right" vertical="center"/>
    </xf>
    <xf numFmtId="4" fontId="30" fillId="18" borderId="22" applyNumberFormat="0" applyProtection="0">
      <alignment horizontal="right" vertical="center"/>
    </xf>
    <xf numFmtId="4" fontId="30" fillId="19" borderId="22" applyNumberFormat="0" applyProtection="0">
      <alignment horizontal="right" vertical="center"/>
    </xf>
    <xf numFmtId="4" fontId="30" fillId="20" borderId="22" applyNumberFormat="0" applyProtection="0">
      <alignment horizontal="right" vertical="center"/>
    </xf>
    <xf numFmtId="4" fontId="28" fillId="21" borderId="23" applyNumberFormat="0" applyProtection="0">
      <alignment horizontal="left" vertical="center" indent="1"/>
    </xf>
    <xf numFmtId="4" fontId="30" fillId="22" borderId="0" applyNumberFormat="0" applyProtection="0">
      <alignment horizontal="left" vertical="center" indent="1"/>
    </xf>
    <xf numFmtId="4" fontId="31" fillId="23" borderId="0" applyNumberFormat="0" applyProtection="0">
      <alignment horizontal="left" vertical="center" indent="1"/>
    </xf>
    <xf numFmtId="4" fontId="30" fillId="24" borderId="22" applyNumberFormat="0" applyProtection="0">
      <alignment horizontal="right" vertical="center"/>
    </xf>
    <xf numFmtId="4" fontId="30" fillId="22" borderId="0" applyNumberFormat="0" applyProtection="0">
      <alignment horizontal="left" vertical="center" indent="1"/>
    </xf>
    <xf numFmtId="4" fontId="30" fillId="22" borderId="0" applyNumberFormat="0" applyProtection="0">
      <alignment horizontal="left" vertical="center" indent="1"/>
    </xf>
    <xf numFmtId="4" fontId="30" fillId="12" borderId="0" applyNumberFormat="0" applyProtection="0">
      <alignment horizontal="left" vertical="center" indent="1"/>
    </xf>
    <xf numFmtId="4" fontId="30"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30" fillId="27" borderId="22" applyNumberFormat="0" applyProtection="0">
      <alignment vertical="center"/>
    </xf>
    <xf numFmtId="4" fontId="32" fillId="27" borderId="22" applyNumberFormat="0" applyProtection="0">
      <alignment vertical="center"/>
    </xf>
    <xf numFmtId="4" fontId="30" fillId="27" borderId="22" applyNumberFormat="0" applyProtection="0">
      <alignment horizontal="left" vertical="center" indent="1"/>
    </xf>
    <xf numFmtId="0" fontId="30" fillId="27" borderId="22" applyNumberFormat="0" applyProtection="0">
      <alignment horizontal="left" vertical="top" indent="1"/>
    </xf>
    <xf numFmtId="4" fontId="30" fillId="22" borderId="22" applyNumberFormat="0" applyProtection="0">
      <alignment horizontal="right" vertical="center"/>
    </xf>
    <xf numFmtId="4" fontId="32" fillId="22" borderId="22" applyNumberFormat="0" applyProtection="0">
      <alignment horizontal="right" vertical="center"/>
    </xf>
    <xf numFmtId="4" fontId="30" fillId="24" borderId="22" applyNumberFormat="0" applyProtection="0">
      <alignment horizontal="left" vertical="center" indent="1"/>
    </xf>
    <xf numFmtId="0" fontId="30" fillId="12" borderId="22" applyNumberFormat="0" applyProtection="0">
      <alignment horizontal="left" vertical="top" indent="1"/>
    </xf>
    <xf numFmtId="4" fontId="33" fillId="28" borderId="0" applyNumberFormat="0" applyProtection="0">
      <alignment horizontal="left" vertical="center" indent="1"/>
    </xf>
    <xf numFmtId="4" fontId="34"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7" fillId="0" borderId="0"/>
    <xf numFmtId="0" fontId="2" fillId="0" borderId="0">
      <alignment vertical="top"/>
    </xf>
    <xf numFmtId="0" fontId="2" fillId="0" borderId="0"/>
    <xf numFmtId="0" fontId="2" fillId="0" borderId="0">
      <alignment vertical="top"/>
    </xf>
    <xf numFmtId="0" fontId="2" fillId="0" borderId="0"/>
    <xf numFmtId="0" fontId="30" fillId="0" borderId="0">
      <alignment vertical="top"/>
    </xf>
    <xf numFmtId="0" fontId="30" fillId="0" borderId="0">
      <alignment vertical="top"/>
    </xf>
    <xf numFmtId="168" fontId="35" fillId="0" borderId="24"/>
    <xf numFmtId="0" fontId="36" fillId="0" borderId="0" applyNumberFormat="0" applyFill="0" applyBorder="0" applyAlignment="0" applyProtection="0"/>
    <xf numFmtId="0" fontId="37" fillId="0" borderId="0" applyBorder="0"/>
    <xf numFmtId="0" fontId="38" fillId="0" borderId="25" applyNumberFormat="0" applyFill="0" applyAlignment="0" applyProtection="0"/>
    <xf numFmtId="0" fontId="39" fillId="4" borderId="2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0" fillId="0" borderId="0" xfId="0" applyBorder="1"/>
    <xf numFmtId="14" fontId="0" fillId="0" borderId="0" xfId="0" applyNumberFormat="1" applyBorder="1"/>
    <xf numFmtId="0" fontId="4" fillId="0" borderId="0" xfId="0" applyFont="1" applyBorder="1" applyAlignment="1">
      <alignment horizontal="left" wrapText="1"/>
    </xf>
    <xf numFmtId="2" fontId="0" fillId="0" borderId="0" xfId="0" applyNumberFormat="1" applyBorder="1"/>
    <xf numFmtId="166" fontId="0" fillId="0" borderId="0" xfId="1" applyFont="1" applyBorder="1"/>
    <xf numFmtId="0" fontId="7" fillId="0" borderId="0" xfId="3" applyFont="1" applyAlignment="1">
      <alignment wrapText="1"/>
    </xf>
    <xf numFmtId="0" fontId="10" fillId="0" borderId="0" xfId="3" applyFont="1"/>
    <xf numFmtId="0" fontId="9" fillId="0" borderId="11" xfId="3" applyFont="1" applyBorder="1" applyAlignment="1">
      <alignment horizontal="left"/>
    </xf>
    <xf numFmtId="0" fontId="9" fillId="0" borderId="12" xfId="3" applyFont="1" applyBorder="1"/>
    <xf numFmtId="0" fontId="9" fillId="0" borderId="12" xfId="3" applyFont="1" applyBorder="1" applyAlignment="1"/>
    <xf numFmtId="0" fontId="9" fillId="0" borderId="13" xfId="3" applyFont="1" applyBorder="1" applyAlignment="1"/>
    <xf numFmtId="0" fontId="12" fillId="0" borderId="6" xfId="3" applyFont="1" applyBorder="1" applyAlignment="1">
      <alignment horizontal="left" indent="1"/>
    </xf>
    <xf numFmtId="0" fontId="12" fillId="0" borderId="0" xfId="3" applyFont="1" applyBorder="1"/>
    <xf numFmtId="0" fontId="13" fillId="0" borderId="0" xfId="3" applyFont="1" applyBorder="1" applyAlignment="1">
      <alignment horizontal="center"/>
    </xf>
    <xf numFmtId="0" fontId="12" fillId="0" borderId="7" xfId="3" applyFont="1" applyBorder="1"/>
    <xf numFmtId="0" fontId="10" fillId="0" borderId="6" xfId="4" applyFont="1" applyBorder="1" applyAlignment="1">
      <alignment horizontal="left" indent="1"/>
    </xf>
    <xf numFmtId="0" fontId="10" fillId="0" borderId="0" xfId="4" applyFont="1" applyBorder="1"/>
    <xf numFmtId="4" fontId="10" fillId="0" borderId="0" xfId="3" applyNumberFormat="1" applyFont="1" applyFill="1" applyBorder="1" applyAlignment="1">
      <alignment horizontal="right" indent="1"/>
    </xf>
    <xf numFmtId="0" fontId="10" fillId="0" borderId="7" xfId="3" applyFont="1" applyBorder="1"/>
    <xf numFmtId="0" fontId="10" fillId="0" borderId="6" xfId="3" applyFont="1" applyBorder="1" applyAlignment="1">
      <alignment horizontal="left" indent="1"/>
    </xf>
    <xf numFmtId="0" fontId="10" fillId="0" borderId="0" xfId="3" applyFont="1" applyBorder="1"/>
    <xf numFmtId="3" fontId="10" fillId="0" borderId="0" xfId="3" applyNumberFormat="1" applyFont="1" applyFill="1" applyBorder="1" applyAlignment="1">
      <alignment horizontal="right" indent="1"/>
    </xf>
    <xf numFmtId="2" fontId="10" fillId="0" borderId="0" xfId="3" applyNumberFormat="1" applyFont="1" applyFill="1" applyBorder="1" applyAlignment="1">
      <alignment horizontal="right" indent="1"/>
    </xf>
    <xf numFmtId="0" fontId="10" fillId="0" borderId="0" xfId="3" applyFont="1" applyBorder="1" applyAlignment="1">
      <alignment wrapText="1"/>
    </xf>
    <xf numFmtId="167" fontId="10" fillId="0" borderId="0" xfId="3" applyNumberFormat="1" applyFont="1" applyFill="1" applyBorder="1" applyAlignment="1">
      <alignment horizontal="right" indent="1"/>
    </xf>
    <xf numFmtId="0" fontId="10" fillId="0" borderId="0" xfId="3" applyFont="1" applyFill="1" applyBorder="1"/>
    <xf numFmtId="0" fontId="10" fillId="0" borderId="0" xfId="3" applyFont="1" applyFill="1" applyBorder="1" applyAlignment="1">
      <alignment horizontal="right" indent="1"/>
    </xf>
    <xf numFmtId="0" fontId="7" fillId="0" borderId="0" xfId="3" applyFont="1" applyBorder="1" applyAlignment="1">
      <alignment horizontal="center"/>
    </xf>
    <xf numFmtId="0" fontId="10" fillId="0" borderId="0" xfId="3" applyFont="1" applyFill="1" applyBorder="1" applyAlignment="1">
      <alignment horizontal="center"/>
    </xf>
    <xf numFmtId="169" fontId="10" fillId="0" borderId="0" xfId="3" applyNumberFormat="1" applyFont="1" applyFill="1" applyBorder="1" applyAlignment="1">
      <alignment horizontal="right" indent="1"/>
    </xf>
    <xf numFmtId="0" fontId="10" fillId="0" borderId="0" xfId="4" applyFont="1" applyFill="1" applyBorder="1" applyAlignment="1">
      <alignment horizontal="center"/>
    </xf>
    <xf numFmtId="0" fontId="10" fillId="0" borderId="7" xfId="4" applyFont="1" applyBorder="1"/>
    <xf numFmtId="170" fontId="10" fillId="0" borderId="0" xfId="3" applyNumberFormat="1" applyFont="1" applyFill="1" applyBorder="1" applyAlignment="1">
      <alignment horizontal="right" indent="1"/>
    </xf>
    <xf numFmtId="0" fontId="10" fillId="0" borderId="14" xfId="3" applyFont="1" applyBorder="1"/>
    <xf numFmtId="0" fontId="7" fillId="0" borderId="6" xfId="3" applyFont="1" applyBorder="1" applyAlignment="1">
      <alignment horizontal="left" indent="1"/>
    </xf>
    <xf numFmtId="0" fontId="10" fillId="0" borderId="6" xfId="3" applyFont="1" applyBorder="1" applyAlignment="1">
      <alignment horizontal="right" vertical="top" indent="1"/>
    </xf>
    <xf numFmtId="0" fontId="10" fillId="0" borderId="6" xfId="3" applyFont="1" applyBorder="1" applyAlignment="1">
      <alignment horizontal="right" indent="1"/>
    </xf>
    <xf numFmtId="0" fontId="10" fillId="0" borderId="8" xfId="3" applyFont="1" applyBorder="1" applyAlignment="1">
      <alignment horizontal="right" indent="1"/>
    </xf>
    <xf numFmtId="0" fontId="10" fillId="0" borderId="0" xfId="3" applyFont="1" applyAlignment="1">
      <alignment horizontal="left" indent="1"/>
    </xf>
    <xf numFmtId="0" fontId="11" fillId="0" borderId="0" xfId="3" applyFont="1" applyAlignment="1">
      <alignment horizontal="center"/>
    </xf>
    <xf numFmtId="0" fontId="10" fillId="0" borderId="7" xfId="3" applyFont="1" applyBorder="1" applyAlignment="1">
      <alignment wrapText="1"/>
    </xf>
    <xf numFmtId="0" fontId="10" fillId="0" borderId="8" xfId="3" applyFont="1" applyBorder="1" applyAlignment="1">
      <alignment horizontal="left" indent="1"/>
    </xf>
    <xf numFmtId="0" fontId="10" fillId="0" borderId="9" xfId="3" applyFont="1" applyBorder="1" applyAlignment="1"/>
    <xf numFmtId="0" fontId="10" fillId="0" borderId="9" xfId="3" quotePrefix="1" applyFont="1" applyBorder="1" applyAlignment="1"/>
    <xf numFmtId="0" fontId="10" fillId="0" borderId="10" xfId="3" quotePrefix="1" applyFont="1" applyBorder="1" applyAlignment="1"/>
    <xf numFmtId="0" fontId="10" fillId="0" borderId="0" xfId="3" applyFont="1" applyAlignment="1">
      <alignment horizontal="center"/>
    </xf>
    <xf numFmtId="9" fontId="10" fillId="0" borderId="0" xfId="3" applyNumberFormat="1" applyFont="1" applyFill="1" applyBorder="1" applyAlignment="1">
      <alignment horizontal="right" indent="1"/>
    </xf>
    <xf numFmtId="0" fontId="10" fillId="0" borderId="9" xfId="3" applyFont="1" applyBorder="1"/>
    <xf numFmtId="0" fontId="12" fillId="0" borderId="0" xfId="3" applyFont="1" applyBorder="1" applyAlignment="1">
      <alignment horizontal="left" inden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10" fillId="0" borderId="0" xfId="3" applyFont="1" applyBorder="1" applyAlignment="1">
      <alignment horizontal="left" indent="2"/>
    </xf>
    <xf numFmtId="0" fontId="10" fillId="0" borderId="7" xfId="3" applyFont="1" applyBorder="1" applyAlignment="1">
      <alignment horizontal="left" indent="2"/>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9" xfId="3" quotePrefix="1" applyFont="1" applyBorder="1" applyAlignment="1">
      <alignment horizontal="left" indent="3"/>
    </xf>
    <xf numFmtId="0" fontId="10" fillId="0" borderId="9" xfId="3" applyFont="1" applyBorder="1" applyAlignment="1">
      <alignment horizontal="left" indent="3"/>
    </xf>
    <xf numFmtId="0" fontId="10" fillId="0" borderId="10" xfId="3" applyFont="1" applyBorder="1" applyAlignment="1">
      <alignment horizontal="left" indent="3"/>
    </xf>
    <xf numFmtId="0" fontId="43" fillId="0" borderId="28" xfId="3" applyFont="1" applyBorder="1" applyAlignment="1">
      <alignment horizontal="center" vertical="center" wrapText="1"/>
    </xf>
    <xf numFmtId="0" fontId="43" fillId="0" borderId="29" xfId="3" applyFont="1" applyBorder="1" applyAlignment="1">
      <alignment horizontal="center" vertical="center" wrapText="1"/>
    </xf>
    <xf numFmtId="0" fontId="8" fillId="29" borderId="2" xfId="3" applyFont="1" applyFill="1" applyBorder="1" applyAlignment="1">
      <alignment wrapText="1"/>
    </xf>
    <xf numFmtId="0" fontId="9" fillId="0" borderId="12" xfId="3" applyFont="1" applyBorder="1" applyAlignment="1">
      <alignment horizontal="center"/>
    </xf>
    <xf numFmtId="0" fontId="10" fillId="0" borderId="0" xfId="3" quotePrefix="1" applyFont="1"/>
    <xf numFmtId="0" fontId="44" fillId="0" borderId="6" xfId="3" applyFont="1" applyBorder="1" applyAlignment="1">
      <alignment horizontal="left" indent="1"/>
    </xf>
    <xf numFmtId="0" fontId="45" fillId="0" borderId="6" xfId="3" applyFont="1" applyBorder="1" applyAlignment="1">
      <alignment horizontal="left" indent="1"/>
    </xf>
    <xf numFmtId="0" fontId="46" fillId="0" borderId="6" xfId="3" applyFont="1" applyBorder="1" applyAlignment="1">
      <alignment horizontal="left" indent="1"/>
    </xf>
    <xf numFmtId="0" fontId="46" fillId="0" borderId="0" xfId="3" applyFont="1" applyBorder="1"/>
    <xf numFmtId="0" fontId="46" fillId="0" borderId="0" xfId="3" applyFont="1" applyFill="1" applyBorder="1" applyAlignment="1">
      <alignment horizontal="right" indent="1"/>
    </xf>
    <xf numFmtId="4" fontId="46" fillId="0" borderId="0" xfId="3" applyNumberFormat="1" applyFont="1" applyFill="1" applyBorder="1" applyAlignment="1">
      <alignment horizontal="right" indent="1"/>
    </xf>
    <xf numFmtId="0" fontId="46" fillId="0" borderId="7" xfId="3" applyFont="1" applyBorder="1"/>
    <xf numFmtId="167" fontId="46" fillId="0" borderId="0" xfId="3" applyNumberFormat="1" applyFont="1" applyFill="1" applyBorder="1" applyAlignment="1">
      <alignment horizontal="right" indent="1"/>
    </xf>
    <xf numFmtId="0" fontId="45" fillId="0" borderId="6" xfId="4" applyFont="1" applyBorder="1" applyAlignment="1">
      <alignment horizontal="left" indent="1"/>
    </xf>
    <xf numFmtId="0" fontId="10" fillId="0" borderId="6" xfId="3" applyFont="1" applyBorder="1" applyAlignment="1">
      <alignment horizontal="left" vertical="center"/>
    </xf>
    <xf numFmtId="0" fontId="10" fillId="0" borderId="0" xfId="3" applyFont="1" applyBorder="1" applyAlignment="1">
      <alignment vertical="center"/>
    </xf>
    <xf numFmtId="167" fontId="10" fillId="0" borderId="0" xfId="3" applyNumberFormat="1" applyFont="1" applyFill="1" applyBorder="1" applyAlignment="1">
      <alignment horizontal="right" vertical="center"/>
    </xf>
    <xf numFmtId="0" fontId="10" fillId="0" borderId="9" xfId="3" applyFont="1" applyBorder="1" applyAlignment="1">
      <alignment vertical="center"/>
    </xf>
    <xf numFmtId="9" fontId="10" fillId="0" borderId="9" xfId="99" applyFont="1" applyFill="1" applyBorder="1" applyAlignment="1">
      <alignment horizontal="right" vertical="center" wrapText="1"/>
    </xf>
    <xf numFmtId="0" fontId="10" fillId="0" borderId="7" xfId="3" applyFont="1" applyBorder="1" applyAlignment="1">
      <alignment vertical="center"/>
    </xf>
    <xf numFmtId="0" fontId="10" fillId="0" borderId="7" xfId="4" applyFont="1" applyBorder="1" applyAlignment="1">
      <alignment vertical="center"/>
    </xf>
    <xf numFmtId="9" fontId="10" fillId="0" borderId="10" xfId="99" applyFont="1" applyFill="1" applyBorder="1" applyAlignment="1">
      <alignment vertical="center"/>
    </xf>
    <xf numFmtId="0" fontId="46" fillId="0" borderId="0" xfId="3" applyFont="1"/>
    <xf numFmtId="0" fontId="47" fillId="0" borderId="3" xfId="3" applyFont="1" applyBorder="1" applyAlignment="1">
      <alignment horizontal="left"/>
    </xf>
    <xf numFmtId="0" fontId="46" fillId="0" borderId="4" xfId="3" applyFont="1" applyBorder="1"/>
    <xf numFmtId="0" fontId="46" fillId="0" borderId="4" xfId="3" applyFont="1" applyBorder="1" applyAlignment="1">
      <alignment horizontal="center"/>
    </xf>
    <xf numFmtId="0" fontId="46" fillId="0" borderId="5" xfId="3" applyFont="1" applyBorder="1"/>
    <xf numFmtId="0" fontId="46" fillId="0" borderId="8" xfId="3" applyFont="1" applyBorder="1" applyAlignment="1">
      <alignment horizontal="left" indent="1"/>
    </xf>
    <xf numFmtId="0" fontId="10" fillId="0" borderId="8" xfId="4" applyFont="1" applyBorder="1" applyAlignment="1">
      <alignment horizontal="left" indent="1"/>
    </xf>
    <xf numFmtId="0" fontId="10" fillId="0" borderId="9" xfId="4" applyFont="1" applyBorder="1"/>
    <xf numFmtId="4" fontId="10" fillId="0" borderId="9" xfId="3" applyNumberFormat="1" applyFont="1" applyFill="1" applyBorder="1" applyAlignment="1">
      <alignment horizontal="right" indent="1"/>
    </xf>
    <xf numFmtId="0" fontId="10" fillId="0" borderId="10" xfId="3" applyFont="1" applyBorder="1"/>
    <xf numFmtId="0" fontId="10" fillId="0" borderId="9" xfId="3" applyFont="1" applyFill="1" applyBorder="1" applyAlignment="1">
      <alignment horizontal="center"/>
    </xf>
    <xf numFmtId="0" fontId="10" fillId="0" borderId="6" xfId="3" applyFont="1" applyBorder="1"/>
    <xf numFmtId="0" fontId="10" fillId="0" borderId="30" xfId="3" quotePrefix="1" applyFont="1" applyBorder="1" applyAlignment="1">
      <alignment horizontal="right"/>
    </xf>
    <xf numFmtId="2" fontId="10" fillId="0" borderId="24" xfId="3" applyNumberFormat="1" applyFont="1" applyBorder="1"/>
    <xf numFmtId="0" fontId="10" fillId="0" borderId="31" xfId="3" quotePrefix="1" applyFont="1" applyBorder="1"/>
    <xf numFmtId="0" fontId="10" fillId="0" borderId="1" xfId="3" applyFont="1" applyBorder="1"/>
    <xf numFmtId="0" fontId="10" fillId="0" borderId="32" xfId="3" quotePrefix="1" applyFont="1" applyBorder="1"/>
    <xf numFmtId="0" fontId="10" fillId="0" borderId="32" xfId="3" applyFont="1" applyBorder="1"/>
    <xf numFmtId="0" fontId="10" fillId="0" borderId="33" xfId="3" applyFont="1" applyBorder="1"/>
    <xf numFmtId="0" fontId="10" fillId="0" borderId="34" xfId="3" quotePrefix="1" applyFont="1" applyBorder="1"/>
    <xf numFmtId="0" fontId="0" fillId="30" borderId="0" xfId="0" applyFill="1"/>
    <xf numFmtId="0" fontId="2" fillId="30" borderId="0" xfId="0" applyFont="1" applyFill="1"/>
    <xf numFmtId="0" fontId="10" fillId="30" borderId="0" xfId="3" applyFont="1" applyFill="1"/>
    <xf numFmtId="0" fontId="48" fillId="0" borderId="0" xfId="3" applyFont="1"/>
    <xf numFmtId="9" fontId="10" fillId="0" borderId="0" xfId="99" applyFont="1" applyFill="1" applyBorder="1" applyAlignment="1">
      <alignment vertical="center"/>
    </xf>
    <xf numFmtId="0" fontId="10" fillId="0" borderId="0" xfId="3" quotePrefix="1" applyFont="1" applyBorder="1"/>
    <xf numFmtId="17" fontId="10" fillId="29" borderId="27" xfId="3" applyNumberFormat="1" applyFont="1" applyFill="1" applyBorder="1"/>
    <xf numFmtId="0" fontId="10" fillId="0" borderId="0" xfId="3" applyFont="1" applyFill="1" applyBorder="1" applyAlignment="1">
      <alignment vertical="top"/>
    </xf>
    <xf numFmtId="4" fontId="10" fillId="0" borderId="0" xfId="3" applyNumberFormat="1" applyFont="1" applyFill="1" applyBorder="1" applyAlignment="1">
      <alignment horizontal="right" vertical="top" indent="1"/>
    </xf>
    <xf numFmtId="2" fontId="10" fillId="0" borderId="0" xfId="3" applyNumberFormat="1" applyFont="1" applyFill="1" applyBorder="1" applyAlignment="1">
      <alignment horizontal="right" vertical="top" indent="1"/>
    </xf>
    <xf numFmtId="0" fontId="4" fillId="0" borderId="0" xfId="0" applyFont="1" applyBorder="1" applyAlignment="1">
      <alignment wrapText="1"/>
    </xf>
    <xf numFmtId="0" fontId="11" fillId="0" borderId="0" xfId="3" applyFont="1" applyBorder="1" applyAlignment="1">
      <alignment horizontal="left" vertical="top" wrapText="1"/>
    </xf>
    <xf numFmtId="0" fontId="10" fillId="0" borderId="7" xfId="3" applyFont="1" applyFill="1" applyBorder="1" applyAlignment="1">
      <alignment vertical="top" wrapText="1"/>
    </xf>
    <xf numFmtId="0" fontId="10" fillId="0" borderId="0" xfId="3" applyFont="1" applyBorder="1" applyAlignment="1">
      <alignment vertical="top"/>
    </xf>
    <xf numFmtId="0" fontId="10" fillId="0" borderId="7" xfId="3" applyFont="1" applyBorder="1" applyAlignment="1">
      <alignment vertical="top" wrapText="1"/>
    </xf>
    <xf numFmtId="0" fontId="49" fillId="0" borderId="0" xfId="3" applyFont="1" applyBorder="1"/>
    <xf numFmtId="17" fontId="10" fillId="0" borderId="0" xfId="3" applyNumberFormat="1" applyFont="1"/>
    <xf numFmtId="0" fontId="2" fillId="0" borderId="0" xfId="4" applyFont="1"/>
    <xf numFmtId="0" fontId="50" fillId="0" borderId="0" xfId="0" applyFont="1"/>
    <xf numFmtId="0" fontId="51" fillId="0" borderId="0" xfId="0" applyFont="1"/>
    <xf numFmtId="0" fontId="52" fillId="0" borderId="0" xfId="0" applyFont="1" applyBorder="1" applyAlignment="1">
      <alignment horizontal="left" wrapText="1"/>
    </xf>
    <xf numFmtId="0" fontId="51" fillId="0" borderId="0" xfId="0" applyFont="1" applyAlignment="1"/>
    <xf numFmtId="0" fontId="51" fillId="2" borderId="0" xfId="0" applyFont="1" applyFill="1" applyBorder="1"/>
    <xf numFmtId="0" fontId="51" fillId="0" borderId="0" xfId="0" applyFont="1" applyBorder="1"/>
    <xf numFmtId="0" fontId="51" fillId="0" borderId="0" xfId="0" applyNumberFormat="1" applyFont="1" applyBorder="1"/>
    <xf numFmtId="2" fontId="51" fillId="0" borderId="0" xfId="0" applyNumberFormat="1" applyFont="1" applyBorder="1"/>
    <xf numFmtId="0" fontId="51" fillId="0" borderId="0" xfId="0" applyFont="1" applyFill="1" applyBorder="1" applyProtection="1">
      <protection locked="0"/>
    </xf>
    <xf numFmtId="165" fontId="51" fillId="0" borderId="0" xfId="2" applyFont="1" applyBorder="1"/>
    <xf numFmtId="0" fontId="55" fillId="0" borderId="0" xfId="0" applyFont="1"/>
    <xf numFmtId="0" fontId="51" fillId="0" borderId="0" xfId="0" quotePrefix="1" applyFont="1"/>
    <xf numFmtId="165" fontId="51" fillId="0" borderId="42" xfId="2" applyNumberFormat="1" applyFont="1" applyBorder="1"/>
    <xf numFmtId="175" fontId="51" fillId="0" borderId="42" xfId="0" applyNumberFormat="1" applyFont="1" applyBorder="1"/>
    <xf numFmtId="0" fontId="51" fillId="0" borderId="42" xfId="0" applyNumberFormat="1" applyFont="1" applyBorder="1"/>
    <xf numFmtId="165" fontId="51" fillId="0" borderId="43" xfId="2" applyFont="1" applyBorder="1"/>
    <xf numFmtId="0" fontId="51" fillId="0" borderId="46" xfId="0" applyNumberFormat="1" applyFont="1" applyBorder="1"/>
    <xf numFmtId="165" fontId="51" fillId="0" borderId="42" xfId="2" applyFont="1" applyBorder="1"/>
    <xf numFmtId="0" fontId="51" fillId="0" borderId="42" xfId="0" applyFont="1" applyBorder="1"/>
    <xf numFmtId="165" fontId="51" fillId="0" borderId="42" xfId="2" applyFont="1" applyBorder="1" applyAlignment="1">
      <alignment vertical="center"/>
    </xf>
    <xf numFmtId="175" fontId="51" fillId="0" borderId="42" xfId="0" applyNumberFormat="1" applyFont="1" applyBorder="1" applyAlignment="1">
      <alignment horizontal="left" wrapText="1"/>
    </xf>
    <xf numFmtId="0" fontId="51" fillId="0" borderId="42" xfId="0" applyFont="1" applyBorder="1" applyAlignment="1">
      <alignment horizontal="center" wrapText="1"/>
    </xf>
    <xf numFmtId="165" fontId="51" fillId="0" borderId="43" xfId="2" applyFont="1" applyBorder="1" applyAlignment="1">
      <alignment vertical="center"/>
    </xf>
    <xf numFmtId="0" fontId="56" fillId="31" borderId="38" xfId="0" applyFont="1" applyFill="1" applyBorder="1" applyAlignment="1">
      <alignment wrapText="1" shrinkToFit="1"/>
    </xf>
    <xf numFmtId="0" fontId="2" fillId="0" borderId="51" xfId="0" applyFont="1" applyBorder="1"/>
    <xf numFmtId="17" fontId="0" fillId="32" borderId="52" xfId="0" applyNumberFormat="1" applyFill="1" applyBorder="1" applyProtection="1">
      <protection locked="0"/>
    </xf>
    <xf numFmtId="0" fontId="2" fillId="0" borderId="53" xfId="0" applyFont="1" applyBorder="1"/>
    <xf numFmtId="174" fontId="0" fillId="32" borderId="54" xfId="0" applyNumberFormat="1" applyFill="1" applyBorder="1" applyProtection="1">
      <protection locked="0"/>
    </xf>
    <xf numFmtId="0" fontId="2" fillId="0" borderId="55" xfId="0" applyFont="1" applyBorder="1"/>
    <xf numFmtId="0" fontId="0" fillId="32" borderId="56" xfId="0" applyFill="1" applyBorder="1" applyProtection="1">
      <protection locked="0"/>
    </xf>
    <xf numFmtId="0" fontId="56" fillId="31" borderId="39" xfId="0" applyFont="1" applyFill="1" applyBorder="1" applyAlignment="1">
      <alignment horizontal="center" vertical="center" wrapText="1" shrinkToFit="1"/>
    </xf>
    <xf numFmtId="0" fontId="56" fillId="31" borderId="40" xfId="0" applyFont="1" applyFill="1" applyBorder="1" applyAlignment="1">
      <alignment horizontal="center" vertical="center"/>
    </xf>
    <xf numFmtId="0" fontId="51" fillId="33" borderId="41" xfId="0" applyFont="1" applyFill="1" applyBorder="1" applyProtection="1">
      <protection locked="0"/>
    </xf>
    <xf numFmtId="0" fontId="51" fillId="33" borderId="42" xfId="0" applyFont="1" applyFill="1" applyBorder="1" applyProtection="1">
      <protection locked="0"/>
    </xf>
    <xf numFmtId="2" fontId="51" fillId="33" borderId="41" xfId="0" applyNumberFormat="1" applyFont="1" applyFill="1" applyBorder="1" applyAlignment="1" applyProtection="1">
      <alignment vertical="center"/>
      <protection locked="0"/>
    </xf>
    <xf numFmtId="3" fontId="51" fillId="33" borderId="42" xfId="0" applyNumberFormat="1" applyFont="1" applyFill="1" applyBorder="1" applyAlignment="1" applyProtection="1">
      <protection locked="0"/>
    </xf>
    <xf numFmtId="3" fontId="51" fillId="33" borderId="42" xfId="0" applyNumberFormat="1" applyFont="1" applyFill="1" applyBorder="1" applyProtection="1">
      <protection locked="0"/>
    </xf>
    <xf numFmtId="3" fontId="51" fillId="33" borderId="46" xfId="0" applyNumberFormat="1" applyFont="1" applyFill="1" applyBorder="1" applyProtection="1">
      <protection locked="0"/>
    </xf>
    <xf numFmtId="165" fontId="51" fillId="0" borderId="0" xfId="2" applyFont="1" applyFill="1" applyBorder="1"/>
    <xf numFmtId="175" fontId="51" fillId="0" borderId="0" xfId="0" applyNumberFormat="1" applyFont="1" applyFill="1" applyBorder="1"/>
    <xf numFmtId="0" fontId="57" fillId="0" borderId="0" xfId="0" applyFont="1"/>
    <xf numFmtId="178" fontId="51" fillId="0" borderId="42" xfId="2" applyNumberFormat="1" applyFont="1" applyBorder="1" applyAlignment="1">
      <alignment vertical="center"/>
    </xf>
    <xf numFmtId="0" fontId="51" fillId="33" borderId="44" xfId="0" applyFont="1" applyFill="1" applyBorder="1" applyAlignment="1" applyProtection="1">
      <alignment horizontal="left" vertical="center"/>
      <protection locked="0"/>
    </xf>
    <xf numFmtId="0" fontId="51" fillId="33" borderId="48" xfId="0" applyFont="1" applyFill="1" applyBorder="1" applyProtection="1">
      <protection locked="0"/>
    </xf>
    <xf numFmtId="176" fontId="51" fillId="0" borderId="45" xfId="2" applyNumberFormat="1" applyFont="1" applyBorder="1" applyAlignment="1">
      <alignment horizontal="center" vertical="center"/>
    </xf>
    <xf numFmtId="176" fontId="51" fillId="0" borderId="49" xfId="2" applyNumberFormat="1" applyFont="1" applyBorder="1" applyAlignment="1">
      <alignment horizontal="center" vertical="center"/>
    </xf>
    <xf numFmtId="175" fontId="51" fillId="0" borderId="45" xfId="0" applyNumberFormat="1" applyFont="1" applyBorder="1" applyAlignment="1">
      <alignment horizontal="left" vertical="center" wrapText="1"/>
    </xf>
    <xf numFmtId="175" fontId="51" fillId="0" borderId="49" xfId="0" applyNumberFormat="1" applyFont="1" applyBorder="1" applyAlignment="1">
      <alignment horizontal="left" vertical="center" wrapText="1"/>
    </xf>
    <xf numFmtId="177" fontId="51" fillId="0" borderId="47" xfId="2" applyNumberFormat="1" applyFont="1" applyBorder="1" applyAlignment="1">
      <alignment horizontal="center" vertical="center"/>
    </xf>
    <xf numFmtId="177" fontId="51" fillId="0" borderId="50" xfId="2" applyNumberFormat="1" applyFont="1" applyBorder="1" applyAlignment="1">
      <alignment horizontal="center" vertical="center"/>
    </xf>
    <xf numFmtId="0" fontId="52" fillId="0" borderId="35" xfId="0" applyFont="1" applyBorder="1" applyAlignment="1">
      <alignment horizontal="left"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10" fillId="0" borderId="0" xfId="3" applyFont="1" applyBorder="1" applyAlignment="1">
      <alignment horizontal="left" indent="2"/>
    </xf>
    <xf numFmtId="0" fontId="10" fillId="0" borderId="7" xfId="3" applyFont="1" applyBorder="1" applyAlignment="1">
      <alignment horizontal="left" indent="2"/>
    </xf>
    <xf numFmtId="0" fontId="42" fillId="3" borderId="0" xfId="3" applyFont="1" applyFill="1" applyBorder="1" applyAlignment="1">
      <alignment horizontal="center" vertical="center" wrapText="1"/>
    </xf>
    <xf numFmtId="0" fontId="9" fillId="0" borderId="3" xfId="3" applyFont="1" applyBorder="1" applyAlignment="1">
      <alignment horizontal="left"/>
    </xf>
    <xf numFmtId="0" fontId="9" fillId="0" borderId="4" xfId="3" applyFont="1" applyBorder="1" applyAlignment="1">
      <alignment horizontal="left"/>
    </xf>
    <xf numFmtId="0" fontId="9" fillId="0" borderId="5" xfId="3" applyFont="1" applyBorder="1" applyAlignment="1">
      <alignment horizontal="left"/>
    </xf>
    <xf numFmtId="0" fontId="11" fillId="0" borderId="6" xfId="3" applyFont="1" applyBorder="1" applyAlignment="1">
      <alignment horizontal="left" vertical="top" wrapText="1"/>
    </xf>
    <xf numFmtId="0" fontId="11" fillId="0" borderId="0" xfId="3" applyFont="1" applyBorder="1" applyAlignment="1">
      <alignment horizontal="left" vertical="top" wrapText="1"/>
    </xf>
    <xf numFmtId="0" fontId="11" fillId="0" borderId="7" xfId="3" applyFont="1" applyBorder="1" applyAlignment="1">
      <alignment horizontal="left" vertical="top"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0" xfId="3" applyFont="1" applyBorder="1" applyAlignment="1">
      <alignment horizontal="left" vertical="top" wrapTex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46" fillId="0" borderId="0" xfId="3" applyFont="1" applyBorder="1" applyAlignment="1">
      <alignment horizontal="left" wrapText="1"/>
    </xf>
    <xf numFmtId="0" fontId="46" fillId="0" borderId="7" xfId="3" applyFont="1" applyBorder="1" applyAlignment="1">
      <alignment horizontal="left" wrapText="1"/>
    </xf>
    <xf numFmtId="0" fontId="46" fillId="0" borderId="9" xfId="3" applyFont="1" applyBorder="1" applyAlignment="1">
      <alignment horizontal="left" wrapText="1"/>
    </xf>
    <xf numFmtId="0" fontId="46" fillId="0" borderId="10" xfId="3" applyFont="1" applyBorder="1" applyAlignment="1">
      <alignment horizontal="left" wrapText="1"/>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cellXfs>
  <cellStyles count="100">
    <cellStyle name="=C:\WINNT35\SYSTEM32\COMMAND.COM" xfId="6" xr:uid="{00000000-0005-0000-0000-000000000000}"/>
    <cellStyle name="=C:\WINNT35\SYSTEM32\COMMAND.COM 2" xfId="7" xr:uid="{00000000-0005-0000-0000-000001000000}"/>
    <cellStyle name="Berekening" xfId="8" xr:uid="{00000000-0005-0000-0000-000002000000}"/>
    <cellStyle name="Comma" xfId="1" builtinId="3"/>
    <cellStyle name="Comma 2" xfId="9" xr:uid="{00000000-0005-0000-0000-000004000000}"/>
    <cellStyle name="Controlecel" xfId="10" xr:uid="{00000000-0005-0000-0000-000005000000}"/>
    <cellStyle name="Currency" xfId="2" builtinId="4"/>
    <cellStyle name="Euro" xfId="11" xr:uid="{00000000-0005-0000-0000-000007000000}"/>
    <cellStyle name="Gekoppelde cel" xfId="12" xr:uid="{00000000-0005-0000-0000-000008000000}"/>
    <cellStyle name="Goed" xfId="13" xr:uid="{00000000-0005-0000-0000-000009000000}"/>
    <cellStyle name="Invoer" xfId="14" xr:uid="{00000000-0005-0000-0000-00000A000000}"/>
    <cellStyle name="Komma 2" xfId="15" xr:uid="{00000000-0005-0000-0000-00000B000000}"/>
    <cellStyle name="Kop 1" xfId="16" xr:uid="{00000000-0005-0000-0000-00000C000000}"/>
    <cellStyle name="Kop 2" xfId="17" xr:uid="{00000000-0005-0000-0000-00000D000000}"/>
    <cellStyle name="Kop 3" xfId="18" xr:uid="{00000000-0005-0000-0000-00000E000000}"/>
    <cellStyle name="Kop 4" xfId="19" xr:uid="{00000000-0005-0000-0000-00000F000000}"/>
    <cellStyle name="Milliers [0]_AMORT694" xfId="20" xr:uid="{00000000-0005-0000-0000-000010000000}"/>
    <cellStyle name="Milliers 2" xfId="21" xr:uid="{00000000-0005-0000-0000-000011000000}"/>
    <cellStyle name="Milliers 8" xfId="22" xr:uid="{00000000-0005-0000-0000-000012000000}"/>
    <cellStyle name="Milliers_AMORT694" xfId="23" xr:uid="{00000000-0005-0000-0000-000013000000}"/>
    <cellStyle name="Monétaire [0]_AMORT694" xfId="24" xr:uid="{00000000-0005-0000-0000-000014000000}"/>
    <cellStyle name="Monétaire_AMORT694" xfId="25" xr:uid="{00000000-0005-0000-0000-000015000000}"/>
    <cellStyle name="Neutraal" xfId="26" xr:uid="{00000000-0005-0000-0000-000016000000}"/>
    <cellStyle name="Normal" xfId="0" builtinId="0"/>
    <cellStyle name="Normal 2" xfId="27" xr:uid="{00000000-0005-0000-0000-000018000000}"/>
    <cellStyle name="Normal 2 2" xfId="4" xr:uid="{00000000-0005-0000-0000-000019000000}"/>
    <cellStyle name="Normal 2 2 2" xfId="28" xr:uid="{00000000-0005-0000-0000-00001A000000}"/>
    <cellStyle name="Normal 2 2 3" xfId="29" xr:uid="{00000000-0005-0000-0000-00001B000000}"/>
    <cellStyle name="Normal 2 3" xfId="30" xr:uid="{00000000-0005-0000-0000-00001C000000}"/>
    <cellStyle name="Normal 3" xfId="31" xr:uid="{00000000-0005-0000-0000-00001D000000}"/>
    <cellStyle name="Normal 3 2" xfId="32" xr:uid="{00000000-0005-0000-0000-00001E000000}"/>
    <cellStyle name="Normal 3 3" xfId="33" xr:uid="{00000000-0005-0000-0000-00001F000000}"/>
    <cellStyle name="Normal 30" xfId="34" xr:uid="{00000000-0005-0000-0000-000020000000}"/>
    <cellStyle name="Normal 4" xfId="3" xr:uid="{00000000-0005-0000-0000-000021000000}"/>
    <cellStyle name="Notitie" xfId="35" xr:uid="{00000000-0005-0000-0000-000022000000}"/>
    <cellStyle name="Ongeldig" xfId="36" xr:uid="{00000000-0005-0000-0000-000023000000}"/>
    <cellStyle name="Percent 2" xfId="5" xr:uid="{00000000-0005-0000-0000-000024000000}"/>
    <cellStyle name="Percent 3" xfId="99" xr:uid="{00000000-0005-0000-0000-000025000000}"/>
    <cellStyle name="Procent 2" xfId="37" xr:uid="{00000000-0005-0000-0000-000026000000}"/>
    <cellStyle name="Procent 3" xfId="38" xr:uid="{00000000-0005-0000-0000-000027000000}"/>
    <cellStyle name="Procent 4" xfId="39" xr:uid="{00000000-0005-0000-0000-000028000000}"/>
    <cellStyle name="SAPBEXaggData" xfId="40" xr:uid="{00000000-0005-0000-0000-000029000000}"/>
    <cellStyle name="SAPBEXaggDataEmph" xfId="41" xr:uid="{00000000-0005-0000-0000-00002A000000}"/>
    <cellStyle name="SAPBEXaggItem" xfId="42" xr:uid="{00000000-0005-0000-0000-00002B000000}"/>
    <cellStyle name="SAPBEXaggItemX" xfId="43" xr:uid="{00000000-0005-0000-0000-00002C000000}"/>
    <cellStyle name="SAPBEXchaText" xfId="44" xr:uid="{00000000-0005-0000-0000-00002D000000}"/>
    <cellStyle name="SAPBEXexcBad7" xfId="45" xr:uid="{00000000-0005-0000-0000-00002E000000}"/>
    <cellStyle name="SAPBEXexcBad8" xfId="46" xr:uid="{00000000-0005-0000-0000-00002F000000}"/>
    <cellStyle name="SAPBEXexcBad9" xfId="47" xr:uid="{00000000-0005-0000-0000-000030000000}"/>
    <cellStyle name="SAPBEXexcCritical4" xfId="48" xr:uid="{00000000-0005-0000-0000-000031000000}"/>
    <cellStyle name="SAPBEXexcCritical5" xfId="49" xr:uid="{00000000-0005-0000-0000-000032000000}"/>
    <cellStyle name="SAPBEXexcCritical6" xfId="50" xr:uid="{00000000-0005-0000-0000-000033000000}"/>
    <cellStyle name="SAPBEXexcGood1" xfId="51" xr:uid="{00000000-0005-0000-0000-000034000000}"/>
    <cellStyle name="SAPBEXexcGood2" xfId="52" xr:uid="{00000000-0005-0000-0000-000035000000}"/>
    <cellStyle name="SAPBEXexcGood3" xfId="53" xr:uid="{00000000-0005-0000-0000-000036000000}"/>
    <cellStyle name="SAPBEXfilterDrill" xfId="54" xr:uid="{00000000-0005-0000-0000-000037000000}"/>
    <cellStyle name="SAPBEXfilterItem" xfId="55" xr:uid="{00000000-0005-0000-0000-000038000000}"/>
    <cellStyle name="SAPBEXfilterText" xfId="56" xr:uid="{00000000-0005-0000-0000-000039000000}"/>
    <cellStyle name="SAPBEXformats" xfId="57" xr:uid="{00000000-0005-0000-0000-00003A000000}"/>
    <cellStyle name="SAPBEXheaderItem" xfId="58" xr:uid="{00000000-0005-0000-0000-00003B000000}"/>
    <cellStyle name="SAPBEXheaderItem 2" xfId="59" xr:uid="{00000000-0005-0000-0000-00003C000000}"/>
    <cellStyle name="SAPBEXheaderText" xfId="60" xr:uid="{00000000-0005-0000-0000-00003D000000}"/>
    <cellStyle name="SAPBEXheaderText 2" xfId="61" xr:uid="{00000000-0005-0000-0000-00003E000000}"/>
    <cellStyle name="SAPBEXHLevel0" xfId="62" xr:uid="{00000000-0005-0000-0000-00003F000000}"/>
    <cellStyle name="SAPBEXHLevel0X" xfId="63" xr:uid="{00000000-0005-0000-0000-000040000000}"/>
    <cellStyle name="SAPBEXHLevel1" xfId="64" xr:uid="{00000000-0005-0000-0000-000041000000}"/>
    <cellStyle name="SAPBEXHLevel1X" xfId="65" xr:uid="{00000000-0005-0000-0000-000042000000}"/>
    <cellStyle name="SAPBEXHLevel2" xfId="66" xr:uid="{00000000-0005-0000-0000-000043000000}"/>
    <cellStyle name="SAPBEXHLevel2X" xfId="67" xr:uid="{00000000-0005-0000-0000-000044000000}"/>
    <cellStyle name="SAPBEXHLevel3" xfId="68" xr:uid="{00000000-0005-0000-0000-000045000000}"/>
    <cellStyle name="SAPBEXHLevel3X" xfId="69" xr:uid="{00000000-0005-0000-0000-000046000000}"/>
    <cellStyle name="SAPBEXresData" xfId="70" xr:uid="{00000000-0005-0000-0000-000047000000}"/>
    <cellStyle name="SAPBEXresDataEmph" xfId="71" xr:uid="{00000000-0005-0000-0000-000048000000}"/>
    <cellStyle name="SAPBEXresItem" xfId="72" xr:uid="{00000000-0005-0000-0000-000049000000}"/>
    <cellStyle name="SAPBEXresItemX" xfId="73" xr:uid="{00000000-0005-0000-0000-00004A000000}"/>
    <cellStyle name="SAPBEXstdData" xfId="74" xr:uid="{00000000-0005-0000-0000-00004B000000}"/>
    <cellStyle name="SAPBEXstdDataEmph" xfId="75" xr:uid="{00000000-0005-0000-0000-00004C000000}"/>
    <cellStyle name="SAPBEXstdItem" xfId="76" xr:uid="{00000000-0005-0000-0000-00004D000000}"/>
    <cellStyle name="SAPBEXstdItemX" xfId="77" xr:uid="{00000000-0005-0000-0000-00004E000000}"/>
    <cellStyle name="SAPBEXtitle" xfId="78" xr:uid="{00000000-0005-0000-0000-00004F000000}"/>
    <cellStyle name="SAPBEXundefined" xfId="79" xr:uid="{00000000-0005-0000-0000-000050000000}"/>
    <cellStyle name="Standaard 2" xfId="80" xr:uid="{00000000-0005-0000-0000-000051000000}"/>
    <cellStyle name="Standaard 2 2" xfId="81" xr:uid="{00000000-0005-0000-0000-000052000000}"/>
    <cellStyle name="Standaard 3" xfId="82" xr:uid="{00000000-0005-0000-0000-000053000000}"/>
    <cellStyle name="Standaard 3 2" xfId="83" xr:uid="{00000000-0005-0000-0000-000054000000}"/>
    <cellStyle name="Standaard 3 3" xfId="84" xr:uid="{00000000-0005-0000-0000-000055000000}"/>
    <cellStyle name="Standaard 4" xfId="85" xr:uid="{00000000-0005-0000-0000-000056000000}"/>
    <cellStyle name="Standaard 4 2" xfId="86" xr:uid="{00000000-0005-0000-0000-000057000000}"/>
    <cellStyle name="Standaard 5" xfId="87" xr:uid="{00000000-0005-0000-0000-000058000000}"/>
    <cellStyle name="Standaard 6" xfId="88" xr:uid="{00000000-0005-0000-0000-000059000000}"/>
    <cellStyle name="Standaard_Balans IL-Glob. PLAU" xfId="89" xr:uid="{00000000-0005-0000-0000-00005A000000}"/>
    <cellStyle name="Stijl 1" xfId="90" xr:uid="{00000000-0005-0000-0000-00005B000000}"/>
    <cellStyle name="Style 1" xfId="91" xr:uid="{00000000-0005-0000-0000-00005C000000}"/>
    <cellStyle name="times" xfId="92" xr:uid="{00000000-0005-0000-0000-00005D000000}"/>
    <cellStyle name="Titel" xfId="93" xr:uid="{00000000-0005-0000-0000-00005E000000}"/>
    <cellStyle name="TMS" xfId="94" xr:uid="{00000000-0005-0000-0000-00005F000000}"/>
    <cellStyle name="Totaal" xfId="95" xr:uid="{00000000-0005-0000-0000-000060000000}"/>
    <cellStyle name="Uitvoer" xfId="96" xr:uid="{00000000-0005-0000-0000-000061000000}"/>
    <cellStyle name="Verklarende tekst" xfId="97" xr:uid="{00000000-0005-0000-0000-000062000000}"/>
    <cellStyle name="Waarschuwingstekst" xfId="98" xr:uid="{00000000-0005-0000-0000-000063000000}"/>
  </cellStyles>
  <dxfs count="0"/>
  <tableStyles count="0" defaultTableStyle="TableStyleMedium9" defaultPivotStyle="PivotStyleLight16"/>
  <colors>
    <mruColors>
      <color rgb="FFD3EFDE"/>
      <color rgb="FF595959"/>
      <color rgb="FFFFD785"/>
      <color rgb="FF91D6AC"/>
      <color rgb="FF999999"/>
      <color rgb="FFDEDEDE"/>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2"/>
  <sheetViews>
    <sheetView showGridLines="0" tabSelected="1" topLeftCell="B1" zoomScaleNormal="100" workbookViewId="0">
      <selection activeCell="M9" sqref="M9"/>
    </sheetView>
  </sheetViews>
  <sheetFormatPr defaultRowHeight="13.2"/>
  <cols>
    <col min="1" max="1" width="77.5546875" customWidth="1"/>
    <col min="2" max="2" width="19.44140625" customWidth="1"/>
    <col min="3" max="3" width="15.109375" bestFit="1" customWidth="1"/>
    <col min="4" max="4" width="17.88671875" customWidth="1"/>
    <col min="5" max="5" width="17.109375" customWidth="1"/>
    <col min="6" max="6" width="23.88671875" customWidth="1"/>
    <col min="7" max="7" width="3.6640625" customWidth="1"/>
    <col min="8" max="8" width="2.44140625" customWidth="1"/>
    <col min="9" max="9" width="1.44140625" customWidth="1"/>
    <col min="10" max="10" width="1.88671875" customWidth="1"/>
    <col min="12" max="12" width="10" bestFit="1" customWidth="1"/>
    <col min="13" max="13" width="14.6640625" bestFit="1" customWidth="1"/>
  </cols>
  <sheetData>
    <row r="1" spans="1:13" ht="17.399999999999999">
      <c r="A1" s="128" t="s">
        <v>157</v>
      </c>
    </row>
    <row r="2" spans="1:13" ht="16.2" thickBot="1">
      <c r="A2" s="168" t="str">
        <f>"Tariff applicable during the month of "&amp;TEXT(EDATE(M8,1),"mmmm yyyy")&amp;", calculated with the index for "&amp;TEXT(M8,"mmmm yyyy")</f>
        <v>Tariff applicable during the month of May 2023, calculated with the index for April 2023</v>
      </c>
      <c r="B2" s="129"/>
      <c r="C2" s="129"/>
      <c r="D2" s="129"/>
      <c r="E2" s="129"/>
      <c r="F2" s="129"/>
    </row>
    <row r="3" spans="1:13" ht="82.5" customHeight="1" thickBot="1">
      <c r="A3" s="178" t="s">
        <v>146</v>
      </c>
      <c r="B3" s="179"/>
      <c r="C3" s="179"/>
      <c r="D3" s="179"/>
      <c r="E3" s="179"/>
      <c r="F3" s="180"/>
      <c r="G3" s="120"/>
      <c r="H3" s="120"/>
      <c r="I3" s="120"/>
      <c r="J3" s="120"/>
    </row>
    <row r="4" spans="1:13" ht="8.25" customHeight="1" thickBot="1">
      <c r="A4" s="130"/>
      <c r="B4" s="130"/>
      <c r="C4" s="130"/>
      <c r="D4" s="130"/>
      <c r="E4" s="130"/>
      <c r="F4" s="130"/>
      <c r="G4" s="3"/>
      <c r="H4" s="3"/>
      <c r="I4" s="3"/>
      <c r="J4" s="3"/>
    </row>
    <row r="5" spans="1:13" ht="27" customHeight="1" thickBot="1">
      <c r="A5" s="181" t="s">
        <v>160</v>
      </c>
      <c r="B5" s="182"/>
      <c r="C5" s="182"/>
      <c r="D5" s="182"/>
      <c r="E5" s="182"/>
      <c r="F5" s="183"/>
      <c r="G5" s="120"/>
      <c r="H5" s="120"/>
      <c r="I5" s="120"/>
      <c r="J5" s="120"/>
    </row>
    <row r="6" spans="1:13" ht="17.399999999999999">
      <c r="A6" s="128"/>
      <c r="B6" s="129"/>
      <c r="C6" s="131"/>
      <c r="D6" s="129"/>
      <c r="E6" s="129"/>
      <c r="F6" s="129"/>
    </row>
    <row r="7" spans="1:13" ht="13.8" thickBot="1">
      <c r="A7" s="129"/>
      <c r="B7" s="129"/>
      <c r="C7" s="129"/>
      <c r="D7" s="129"/>
      <c r="E7" s="129"/>
      <c r="F7" s="129"/>
    </row>
    <row r="8" spans="1:13" ht="26.4">
      <c r="A8" s="151" t="s">
        <v>147</v>
      </c>
      <c r="B8" s="158" t="str">
        <f>"Tariff applicable in  "&amp;TEXT(EDATE($M$8,1),"mmmm yyyy")</f>
        <v>Tariff applicable in  May 2023</v>
      </c>
      <c r="C8" s="158" t="s">
        <v>3</v>
      </c>
      <c r="D8" s="158" t="s">
        <v>2</v>
      </c>
      <c r="E8" s="158" t="s">
        <v>1</v>
      </c>
      <c r="F8" s="159" t="s">
        <v>0</v>
      </c>
      <c r="L8" s="152" t="s">
        <v>130</v>
      </c>
      <c r="M8" s="153">
        <v>45017</v>
      </c>
    </row>
    <row r="9" spans="1:13" ht="13.8" thickBot="1">
      <c r="A9" s="160"/>
      <c r="B9" s="140" t="str">
        <f>IF(A9="","",VLOOKUP(A9,Input!C10:E13,3,FALSE))</f>
        <v/>
      </c>
      <c r="C9" s="141" t="str">
        <f>IF(A9="","",VLOOKUP(A9,Input!C10:F13,4,FALSE))</f>
        <v/>
      </c>
      <c r="D9" s="161"/>
      <c r="E9" s="142" t="str">
        <f>IF(A9="","",VLOOKUP(A9,Input!C10:G13,5,FALSE))</f>
        <v/>
      </c>
      <c r="F9" s="143" t="str">
        <f>IF(A9="","",(B9*D9))</f>
        <v/>
      </c>
      <c r="L9" s="154" t="s">
        <v>131</v>
      </c>
      <c r="M9" s="155">
        <v>159.76317989399999</v>
      </c>
    </row>
    <row r="10" spans="1:13" ht="13.8" thickBot="1">
      <c r="A10" s="132"/>
      <c r="B10" s="133"/>
      <c r="C10" s="134"/>
      <c r="D10" s="134"/>
      <c r="E10" s="133"/>
      <c r="F10" s="133"/>
      <c r="G10" s="2"/>
      <c r="H10" s="2"/>
      <c r="L10" s="156" t="s">
        <v>132</v>
      </c>
      <c r="M10" s="157">
        <v>115.402315575</v>
      </c>
    </row>
    <row r="11" spans="1:13" ht="13.8" thickBot="1">
      <c r="A11" s="132"/>
      <c r="B11" s="133"/>
      <c r="C11" s="134"/>
      <c r="D11" s="134"/>
      <c r="E11" s="133"/>
      <c r="F11" s="133"/>
      <c r="G11" s="2"/>
      <c r="H11" s="2"/>
    </row>
    <row r="12" spans="1:13" ht="26.4">
      <c r="A12" s="151" t="s">
        <v>148</v>
      </c>
      <c r="B12" s="158" t="str">
        <f>$B$8</f>
        <v>Tariff applicable in  May 2023</v>
      </c>
      <c r="C12" s="158" t="s">
        <v>3</v>
      </c>
      <c r="D12" s="158" t="s">
        <v>2</v>
      </c>
      <c r="E12" s="158" t="s">
        <v>1</v>
      </c>
      <c r="F12" s="159" t="s">
        <v>0</v>
      </c>
      <c r="G12" s="2"/>
      <c r="H12" s="2"/>
    </row>
    <row r="13" spans="1:13" ht="13.8" thickBot="1">
      <c r="A13" s="160"/>
      <c r="B13" s="145" t="str">
        <f>IF(A13="","",VLOOKUP(A13,Input!$C$40:$G$42,3,FALSE))</f>
        <v/>
      </c>
      <c r="C13" s="141" t="str">
        <f>IF(A13="","",VLOOKUP(A13,Input!$C$40:$F$42,4,FALSE))</f>
        <v/>
      </c>
      <c r="D13" s="164"/>
      <c r="E13" s="142" t="str">
        <f>IF(A13="","",VLOOKUP(A13,Input!$C$40:$G$42,5,FALSE))</f>
        <v/>
      </c>
      <c r="F13" s="143" t="str">
        <f>IF(A13="","",IF(C13="€/MWh unloaded",IF(D13&lt;38205,Input!$E$40,B13*D13),B13*D13))</f>
        <v/>
      </c>
      <c r="G13" s="2"/>
      <c r="H13" s="2"/>
    </row>
    <row r="14" spans="1:13">
      <c r="A14" s="133"/>
      <c r="B14" s="129" t="str">
        <f>IF(C13="€/MWh loaded","(applies as from 25.561MWh loaded)",IF(C13="€/MWh unloaded","(applies as from 38.205MWh loaded)"," "))</f>
        <v xml:space="preserve"> </v>
      </c>
      <c r="C14" s="134"/>
      <c r="D14" s="134"/>
      <c r="E14" s="133"/>
      <c r="F14" s="133"/>
      <c r="G14" s="2"/>
      <c r="H14" s="2"/>
    </row>
    <row r="15" spans="1:13" ht="13.8" thickBot="1">
      <c r="A15" s="133"/>
      <c r="B15" s="129"/>
      <c r="C15" s="134"/>
      <c r="D15" s="134"/>
      <c r="E15" s="133"/>
      <c r="F15" s="133"/>
      <c r="G15" s="2"/>
      <c r="H15" s="2"/>
    </row>
    <row r="16" spans="1:13" ht="26.4">
      <c r="A16" s="151" t="s">
        <v>150</v>
      </c>
      <c r="B16" s="158" t="str">
        <f>$B$8</f>
        <v>Tariff applicable in  May 2023</v>
      </c>
      <c r="C16" s="158" t="s">
        <v>3</v>
      </c>
      <c r="D16" s="158" t="s">
        <v>2</v>
      </c>
      <c r="E16" s="158" t="s">
        <v>1</v>
      </c>
      <c r="F16" s="159" t="s">
        <v>0</v>
      </c>
      <c r="G16" s="2"/>
      <c r="H16" s="2"/>
    </row>
    <row r="17" spans="1:9" ht="13.8" thickBot="1">
      <c r="A17" s="160"/>
      <c r="B17" s="145" t="str">
        <f>IF(A17="","",VLOOKUP(A17,Input!$C$9:$G$42,3,FALSE))</f>
        <v/>
      </c>
      <c r="C17" s="141" t="str">
        <f>IF(A17="","",VLOOKUP(A17,Input!$C$9:$F$42,4,FALSE))</f>
        <v/>
      </c>
      <c r="D17" s="164"/>
      <c r="E17" s="142" t="str">
        <f>IF(A17="","",VLOOKUP(A17,Input!$C$9:$G$42,5,FALSE))</f>
        <v/>
      </c>
      <c r="F17" s="143" t="str">
        <f>IF(A17="","",IF(AND(C17="€/MWh loaded",A17=CHAR(34)&amp;"Ship Loading"&amp;CHAR(34)&amp;" Service (in the framework of a Stand Alone Berthing Right)"),IF(D17&lt;25561,Input!$E$40,D17*B17),B17*D17))</f>
        <v/>
      </c>
      <c r="G17" s="2"/>
      <c r="H17" s="2"/>
    </row>
    <row r="18" spans="1:9">
      <c r="A18" s="133"/>
      <c r="B18" s="129" t="str">
        <f>IF(AND(C17="€/MWh loaded",A17=CHAR(34)&amp;"Ship Loading"&amp;CHAR(34)&amp;" Service (in the framework of a Stand Alone Berthing Right)"),"(applies as from 25.561MWh loaded)"," ")</f>
        <v xml:space="preserve"> </v>
      </c>
      <c r="C18" s="134"/>
      <c r="D18" s="134"/>
      <c r="E18" s="133"/>
      <c r="F18" s="133"/>
      <c r="G18" s="2"/>
      <c r="H18" s="2"/>
    </row>
    <row r="19" spans="1:9" ht="13.8" thickBot="1">
      <c r="A19" s="133"/>
      <c r="B19" s="129"/>
      <c r="C19" s="134"/>
      <c r="D19" s="134"/>
      <c r="E19" s="133"/>
      <c r="F19" s="133"/>
      <c r="G19" s="2"/>
      <c r="H19" s="2"/>
    </row>
    <row r="20" spans="1:9" ht="26.4">
      <c r="A20" s="151" t="s">
        <v>152</v>
      </c>
      <c r="B20" s="158" t="str">
        <f>$B$8</f>
        <v>Tariff applicable in  May 2023</v>
      </c>
      <c r="C20" s="158" t="s">
        <v>3</v>
      </c>
      <c r="D20" s="158" t="s">
        <v>2</v>
      </c>
      <c r="E20" s="158" t="s">
        <v>1</v>
      </c>
      <c r="F20" s="159" t="s">
        <v>0</v>
      </c>
      <c r="G20" s="2"/>
      <c r="H20" s="2"/>
    </row>
    <row r="21" spans="1:9" ht="13.8" thickBot="1">
      <c r="A21" s="162"/>
      <c r="B21" s="147" t="str">
        <f>IF(A21="","",VLOOKUP(A21,Input!$C$78:$H$79,3,FALSE))</f>
        <v/>
      </c>
      <c r="C21" s="148" t="str">
        <f>IF(A21="","",VLOOKUP(A21,Input!$C$78:$H$79,4,FALSE))</f>
        <v/>
      </c>
      <c r="D21" s="163"/>
      <c r="E21" s="149" t="str">
        <f>IF(A21="","",VLOOKUP(A21,Input!$C$78:$H$79,5,FALSE))</f>
        <v/>
      </c>
      <c r="F21" s="150" t="str">
        <f>IF(A21="","",(B21*D21))</f>
        <v/>
      </c>
      <c r="G21" s="2"/>
      <c r="H21" s="2"/>
    </row>
    <row r="22" spans="1:9">
      <c r="A22" s="133"/>
      <c r="B22" s="129"/>
      <c r="C22" s="134"/>
      <c r="D22" s="134"/>
      <c r="E22" s="133"/>
      <c r="F22" s="133"/>
      <c r="G22" s="2"/>
      <c r="H22" s="2"/>
    </row>
    <row r="23" spans="1:9" ht="13.8" thickBot="1">
      <c r="A23" s="133"/>
      <c r="B23" s="129"/>
      <c r="C23" s="134"/>
      <c r="D23" s="134"/>
      <c r="E23" s="133"/>
      <c r="F23" s="133"/>
      <c r="G23" s="2"/>
      <c r="H23" s="2"/>
    </row>
    <row r="24" spans="1:9" ht="26.4">
      <c r="A24" s="151" t="s">
        <v>153</v>
      </c>
      <c r="B24" s="158" t="str">
        <f>$B$8</f>
        <v>Tariff applicable in  May 2023</v>
      </c>
      <c r="C24" s="158" t="s">
        <v>3</v>
      </c>
      <c r="D24" s="158" t="s">
        <v>2</v>
      </c>
      <c r="E24" s="158" t="s">
        <v>1</v>
      </c>
      <c r="F24" s="159" t="s">
        <v>0</v>
      </c>
      <c r="G24" s="2"/>
      <c r="H24" s="2"/>
    </row>
    <row r="25" spans="1:9">
      <c r="A25" s="170"/>
      <c r="B25" s="172" t="str">
        <f>IF(A25="","",VLOOKUP(A25,Input!$C$9:$F$79,3,FALSE))</f>
        <v/>
      </c>
      <c r="C25" s="174" t="str">
        <f>IF(A25="","",VLOOKUP(A25,Input!$C$9:$F$79,4,FALSE))</f>
        <v/>
      </c>
      <c r="D25" s="165"/>
      <c r="E25" s="144" t="str">
        <f>IF(A25="","",VLOOKUP(A25,Input!$C$9:$G$79,5,FALSE))</f>
        <v/>
      </c>
      <c r="F25" s="176" t="str">
        <f>IF(A25="","",IF(C25="€/m³LNG/year (adjusted pro rata temporis)",B25*D25*D26/365,IF(E25="cargo(s)",D25*B25,(D25*B25)*D26)))</f>
        <v/>
      </c>
      <c r="G25" s="2"/>
      <c r="H25" s="2"/>
    </row>
    <row r="26" spans="1:9" ht="13.8" thickBot="1">
      <c r="A26" s="171"/>
      <c r="B26" s="173"/>
      <c r="C26" s="175"/>
      <c r="D26" s="161"/>
      <c r="E26" s="142" t="str">
        <f>IF(A25="","",VLOOKUP(A25,Input!$C$9:$H$79,6,FALSE))</f>
        <v/>
      </c>
      <c r="F26" s="177"/>
      <c r="G26" s="2"/>
      <c r="H26" s="2"/>
    </row>
    <row r="27" spans="1:9">
      <c r="A27" s="133"/>
      <c r="B27" s="129"/>
      <c r="C27" s="134"/>
      <c r="D27" s="134"/>
      <c r="E27" s="133"/>
      <c r="F27" s="133"/>
      <c r="G27" s="2"/>
      <c r="H27" s="2"/>
    </row>
    <row r="28" spans="1:9" ht="13.8" thickBot="1">
      <c r="A28" s="133"/>
      <c r="B28" s="129"/>
      <c r="C28" s="134"/>
      <c r="D28" s="134"/>
      <c r="E28" s="133"/>
      <c r="F28" s="133"/>
      <c r="G28" s="2"/>
      <c r="H28" s="2"/>
    </row>
    <row r="29" spans="1:9" ht="26.4">
      <c r="A29" s="151" t="s">
        <v>155</v>
      </c>
      <c r="B29" s="158" t="str">
        <f>$B$8</f>
        <v>Tariff applicable in  May 2023</v>
      </c>
      <c r="C29" s="158" t="s">
        <v>3</v>
      </c>
      <c r="D29" s="158" t="s">
        <v>2</v>
      </c>
      <c r="E29" s="158" t="s">
        <v>1</v>
      </c>
      <c r="F29" s="159" t="s">
        <v>0</v>
      </c>
      <c r="G29" s="2"/>
    </row>
    <row r="30" spans="1:9">
      <c r="A30" s="170"/>
      <c r="B30" s="172" t="str">
        <f>IF(A30="","",VLOOKUP(A30,Input!$C$9:$F$79,3,FALSE))</f>
        <v/>
      </c>
      <c r="C30" s="174" t="str">
        <f>IF(A30="","",VLOOKUP(A30,Input!$C$9:$F$79,4,FALSE))</f>
        <v/>
      </c>
      <c r="D30" s="165"/>
      <c r="E30" s="144" t="str">
        <f>IF(A30="","",VLOOKUP(A30,Input!$C$9:$G$79,5,FALSE))</f>
        <v/>
      </c>
      <c r="F30" s="176" t="str">
        <f>IF(A30="","",IF(C30="€/m³LNG/year (adjusted pro rata temporis)",B30*D30*D31/365,IF(E30="cargo(s)",D30*B30,(D30*B30)*D31)))</f>
        <v/>
      </c>
      <c r="G30" s="2"/>
    </row>
    <row r="31" spans="1:9" ht="13.8" thickBot="1">
      <c r="A31" s="171"/>
      <c r="B31" s="173"/>
      <c r="C31" s="175"/>
      <c r="D31" s="161"/>
      <c r="E31" s="142" t="str">
        <f>IF(A30="","",VLOOKUP(A30,Input!$C$9:$H$79,6,FALSE))</f>
        <v/>
      </c>
      <c r="F31" s="177"/>
      <c r="G31" s="2"/>
      <c r="H31" s="2"/>
      <c r="I31" s="1"/>
    </row>
    <row r="32" spans="1:9">
      <c r="A32" s="132"/>
      <c r="B32" s="135"/>
      <c r="C32" s="135"/>
      <c r="D32" s="135"/>
      <c r="E32" s="135"/>
      <c r="F32" s="135"/>
      <c r="G32" s="2"/>
      <c r="H32" s="2"/>
      <c r="I32" s="1"/>
    </row>
    <row r="33" spans="1:8" ht="13.8" thickBot="1">
      <c r="A33" s="132"/>
      <c r="B33" s="135"/>
      <c r="C33" s="135"/>
      <c r="D33" s="135"/>
      <c r="E33" s="135"/>
      <c r="F33" s="135"/>
      <c r="G33" s="4"/>
      <c r="H33" s="5"/>
    </row>
    <row r="34" spans="1:8" ht="26.4">
      <c r="A34" s="151" t="s">
        <v>161</v>
      </c>
      <c r="B34" s="158" t="str">
        <f>$B$8</f>
        <v>Tariff applicable in  May 2023</v>
      </c>
      <c r="C34" s="158" t="s">
        <v>3</v>
      </c>
      <c r="D34" s="158" t="s">
        <v>2</v>
      </c>
      <c r="E34" s="158" t="s">
        <v>1</v>
      </c>
      <c r="F34" s="159" t="s">
        <v>0</v>
      </c>
      <c r="G34" s="4"/>
      <c r="H34" s="5"/>
    </row>
    <row r="35" spans="1:8" ht="13.8" thickBot="1">
      <c r="A35" s="162"/>
      <c r="B35" s="169" t="str">
        <f>IF(A35="","",VLOOKUP(A35,Input!$C$45:$G$47,3,FALSE))</f>
        <v/>
      </c>
      <c r="C35" s="148" t="str">
        <f>IF(A35="","",VLOOKUP(A35,Input!$C$45:$G$47,4,FALSE))</f>
        <v/>
      </c>
      <c r="D35" s="163"/>
      <c r="E35" s="149" t="str">
        <f>IF(A35="","",VLOOKUP(A35,Input!$C$45:$G$47,5,FALSE))</f>
        <v/>
      </c>
      <c r="F35" s="150" t="str">
        <f>IF(A35="","",(B35*D35))</f>
        <v/>
      </c>
      <c r="G35" s="4"/>
      <c r="H35" s="5"/>
    </row>
    <row r="36" spans="1:8">
      <c r="A36" s="132"/>
      <c r="B36" s="135"/>
      <c r="C36" s="135"/>
      <c r="D36" s="135"/>
      <c r="E36" s="135"/>
      <c r="F36" s="135"/>
      <c r="G36" s="4"/>
      <c r="H36" s="5"/>
    </row>
    <row r="37" spans="1:8" ht="13.8" thickBot="1">
      <c r="A37" s="132"/>
      <c r="B37" s="135"/>
      <c r="C37" s="135"/>
      <c r="D37" s="135"/>
      <c r="E37" s="135"/>
      <c r="F37" s="135"/>
      <c r="G37" s="4"/>
      <c r="H37" s="5"/>
    </row>
    <row r="38" spans="1:8" ht="26.4">
      <c r="A38" s="151" t="s">
        <v>17</v>
      </c>
      <c r="B38" s="158" t="str">
        <f>$B$8</f>
        <v>Tariff applicable in  May 2023</v>
      </c>
      <c r="C38" s="158" t="s">
        <v>3</v>
      </c>
      <c r="D38" s="158" t="s">
        <v>2</v>
      </c>
      <c r="E38" s="158" t="s">
        <v>1</v>
      </c>
      <c r="F38" s="159" t="s">
        <v>0</v>
      </c>
    </row>
    <row r="39" spans="1:8" ht="13.8" thickBot="1">
      <c r="A39" s="160"/>
      <c r="B39" s="145" t="str">
        <f>IF(A39="","",VLOOKUP(A39,Input!C51:G53,3,FALSE))</f>
        <v/>
      </c>
      <c r="C39" s="141" t="str">
        <f>IF(A39="","",VLOOKUP(A39,Input!C51:G53,4,FALSE))</f>
        <v/>
      </c>
      <c r="D39" s="161"/>
      <c r="E39" s="146" t="str">
        <f>IF(A39="","",VLOOKUP(A39,Input!C51:G53,5,FALSE))</f>
        <v/>
      </c>
      <c r="F39" s="143" t="str">
        <f>IF(A39="","",B39*D39)</f>
        <v/>
      </c>
    </row>
    <row r="40" spans="1:8">
      <c r="A40" s="166"/>
      <c r="B40" s="166"/>
      <c r="C40" s="167"/>
      <c r="D40" s="136"/>
      <c r="E40" s="133"/>
      <c r="F40" s="137"/>
    </row>
    <row r="41" spans="1:8">
      <c r="A41" s="129"/>
      <c r="B41" s="129"/>
      <c r="C41" s="129"/>
      <c r="D41" s="129"/>
      <c r="E41" s="129"/>
      <c r="F41" s="129"/>
    </row>
    <row r="42" spans="1:8">
      <c r="A42" s="138" t="s">
        <v>8</v>
      </c>
      <c r="B42" s="129"/>
      <c r="C42" s="129"/>
      <c r="D42" s="129"/>
      <c r="E42" s="129"/>
      <c r="F42" s="129"/>
    </row>
    <row r="43" spans="1:8">
      <c r="A43" s="129" t="s">
        <v>117</v>
      </c>
      <c r="B43" s="129"/>
      <c r="C43" s="129"/>
      <c r="D43" s="129"/>
      <c r="E43" s="129"/>
      <c r="F43" s="129"/>
    </row>
    <row r="44" spans="1:8">
      <c r="A44" s="129" t="s">
        <v>9</v>
      </c>
      <c r="B44" s="129"/>
      <c r="C44" s="129"/>
      <c r="D44" s="129"/>
      <c r="E44" s="129"/>
      <c r="F44" s="129"/>
    </row>
    <row r="45" spans="1:8">
      <c r="A45" s="129" t="s">
        <v>10</v>
      </c>
      <c r="B45" s="129"/>
      <c r="C45" s="129"/>
      <c r="D45" s="129"/>
      <c r="E45" s="129"/>
      <c r="F45" s="129"/>
    </row>
    <row r="46" spans="1:8">
      <c r="A46" s="139" t="s">
        <v>11</v>
      </c>
      <c r="B46" s="129"/>
      <c r="C46" s="129"/>
      <c r="D46" s="129"/>
      <c r="E46" s="129"/>
      <c r="F46" s="129"/>
    </row>
    <row r="47" spans="1:8">
      <c r="A47" s="139" t="s">
        <v>12</v>
      </c>
      <c r="B47" s="129"/>
      <c r="C47" s="129"/>
      <c r="D47" s="129"/>
      <c r="E47" s="129"/>
      <c r="F47" s="129"/>
    </row>
    <row r="48" spans="1:8">
      <c r="A48" s="139" t="s">
        <v>13</v>
      </c>
      <c r="B48" s="129"/>
      <c r="C48" s="129"/>
      <c r="D48" s="129"/>
      <c r="E48" s="129"/>
      <c r="F48" s="129"/>
    </row>
    <row r="49" spans="1:6">
      <c r="A49" s="139" t="s">
        <v>118</v>
      </c>
      <c r="B49" s="129"/>
      <c r="C49" s="129"/>
      <c r="D49" s="129"/>
      <c r="E49" s="129"/>
      <c r="F49" s="129"/>
    </row>
    <row r="50" spans="1:6">
      <c r="A50" s="139" t="s">
        <v>14</v>
      </c>
      <c r="B50" s="129"/>
      <c r="C50" s="129"/>
      <c r="D50" s="129"/>
      <c r="E50" s="129"/>
      <c r="F50" s="129"/>
    </row>
    <row r="51" spans="1:6">
      <c r="A51" s="139" t="s">
        <v>119</v>
      </c>
      <c r="B51" s="129"/>
      <c r="C51" s="129"/>
      <c r="D51" s="129"/>
      <c r="E51" s="129"/>
      <c r="F51" s="129"/>
    </row>
    <row r="52" spans="1:6">
      <c r="A52" s="139" t="s">
        <v>120</v>
      </c>
      <c r="B52" s="129"/>
      <c r="C52" s="129"/>
      <c r="D52" s="129"/>
      <c r="E52" s="129"/>
      <c r="F52" s="129"/>
    </row>
  </sheetData>
  <sheetProtection algorithmName="SHA-512" hashValue="TL28j7aZb+mHpex6lxYFpX0yOZvHUmvuFoAF9gwX7ngWc/toNzt45bRhNC0bWlFV/2mxpQ3dvMHUEq1I/+Y4wg==" saltValue="r7qUDB5QxpOO9SFMp86rcg==" spinCount="100000" sheet="1" selectLockedCells="1"/>
  <mergeCells count="10">
    <mergeCell ref="A30:A31"/>
    <mergeCell ref="B30:B31"/>
    <mergeCell ref="C30:C31"/>
    <mergeCell ref="F30:F31"/>
    <mergeCell ref="A3:F3"/>
    <mergeCell ref="A5:F5"/>
    <mergeCell ref="A25:A26"/>
    <mergeCell ref="B25:B26"/>
    <mergeCell ref="C25:C26"/>
    <mergeCell ref="F25:F26"/>
  </mergeCells>
  <phoneticPr fontId="3" type="noConversion"/>
  <dataValidations count="11">
    <dataValidation type="date" allowBlank="1" showInputMessage="1" showErrorMessage="1" sqref="H31:H32 H10:H28"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0:G32" xr:uid="{00000000-0002-0000-0000-000001000000}">
      <formula1>40179</formula1>
      <formula2>40908</formula2>
    </dataValidation>
    <dataValidation type="list" allowBlank="1" showInputMessage="1" showErrorMessage="1" sqref="A14:A15 A18:A19 A22:A23 A27:A28" xr:uid="{00000000-0002-0000-0000-000002000000}">
      <formula1>Storage</formula1>
    </dataValidation>
    <dataValidation type="list" allowBlank="1" showInputMessage="1" showErrorMessage="1" sqref="A9" xr:uid="{00000000-0002-0000-0000-000003000000}">
      <formula1>Unloading</formula1>
    </dataValidation>
    <dataValidation type="list" allowBlank="1" showInputMessage="1" showErrorMessage="1" sqref="A17" xr:uid="{00000000-0002-0000-0000-000004000000}">
      <formula1>ShipLoading</formula1>
    </dataValidation>
    <dataValidation type="list" allowBlank="1" showInputMessage="1" showErrorMessage="1" sqref="A39" xr:uid="{00000000-0002-0000-0000-000005000000}">
      <formula1>TruckLoading</formula1>
    </dataValidation>
    <dataValidation type="list" allowBlank="1" showInputMessage="1" showErrorMessage="1" sqref="A21" xr:uid="{00000000-0002-0000-0000-000006000000}">
      <formula1>Transshipment</formula1>
    </dataValidation>
    <dataValidation type="whole" allowBlank="1" showInputMessage="1" showErrorMessage="1" sqref="D26 D31" xr:uid="{00000000-0002-0000-0000-000007000000}">
      <formula1>1</formula1>
      <formula2>1000000000000000</formula2>
    </dataValidation>
    <dataValidation type="list" allowBlank="1" showInputMessage="1" showErrorMessage="1" sqref="A25:A26" xr:uid="{974D5766-9BEA-4FFC-941B-8C4AD61D42D1}">
      <formula1>storageServices</formula1>
    </dataValidation>
    <dataValidation type="list" allowBlank="1" showInputMessage="1" showErrorMessage="1" sqref="A30:A31" xr:uid="{7383283E-D140-4B20-B5F2-FB3CE24E79B7}">
      <formula1>sendOutServices</formula1>
    </dataValidation>
    <dataValidation type="list" allowBlank="1" showInputMessage="1" showErrorMessage="1" sqref="A35" xr:uid="{D0F6DA68-4D5F-4087-A3EF-4897AF3FF4F5}">
      <formula1>virtualLiquefaction</formula1>
    </dataValidation>
  </dataValidations>
  <pageMargins left="0.75" right="0.75" top="1" bottom="1" header="0.5" footer="0.5"/>
  <pageSetup paperSize="9" scale="8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7"/>
  <sheetViews>
    <sheetView topLeftCell="A10" workbookViewId="0">
      <selection activeCell="G48" sqref="G48"/>
    </sheetView>
  </sheetViews>
  <sheetFormatPr defaultColWidth="9.109375" defaultRowHeight="13.8"/>
  <cols>
    <col min="1" max="1" width="2.6640625" style="7" customWidth="1"/>
    <col min="2" max="2" width="9.109375" style="39"/>
    <col min="3" max="3" width="67.5546875" style="7" customWidth="1"/>
    <col min="4" max="4" width="22" style="46" customWidth="1"/>
    <col min="5" max="5" width="20.109375" style="46" customWidth="1"/>
    <col min="6" max="6" width="17.5546875" style="7" customWidth="1"/>
    <col min="7" max="7" width="13.44140625" style="7" customWidth="1"/>
    <col min="8" max="8" width="9.109375" style="7"/>
    <col min="9" max="9" width="11.6640625" style="7" bestFit="1" customWidth="1"/>
    <col min="10" max="10" width="15.5546875" style="7" bestFit="1" customWidth="1"/>
    <col min="11" max="16384" width="9.109375" style="7"/>
  </cols>
  <sheetData>
    <row r="1" spans="2:14" s="6" customFormat="1" ht="41.25" customHeight="1" thickBot="1">
      <c r="B1" s="186" t="s">
        <v>142</v>
      </c>
      <c r="C1" s="186"/>
      <c r="D1" s="186"/>
      <c r="E1" s="186"/>
      <c r="F1" s="186"/>
      <c r="I1" s="68" t="s">
        <v>92</v>
      </c>
      <c r="J1" s="69" t="s">
        <v>93</v>
      </c>
    </row>
    <row r="2" spans="2:14" ht="16.2" thickBot="1">
      <c r="B2" s="187"/>
      <c r="C2" s="188"/>
      <c r="D2" s="188"/>
      <c r="E2" s="188"/>
      <c r="F2" s="189"/>
      <c r="H2" s="116">
        <f>I9</f>
        <v>45017</v>
      </c>
      <c r="I2" s="70">
        <f>J12</f>
        <v>1.1466436891633358</v>
      </c>
      <c r="J2" s="70">
        <f>K12</f>
        <v>1.0624036190652442</v>
      </c>
    </row>
    <row r="3" spans="2:14" ht="35.25" customHeight="1">
      <c r="B3" s="190" t="s">
        <v>143</v>
      </c>
      <c r="C3" s="191"/>
      <c r="D3" s="191"/>
      <c r="E3" s="191"/>
      <c r="F3" s="192"/>
      <c r="L3" s="110" t="s">
        <v>18</v>
      </c>
      <c r="M3" s="110"/>
      <c r="N3" s="112"/>
    </row>
    <row r="4" spans="2:14" ht="30.75" customHeight="1" thickBot="1">
      <c r="B4" s="193"/>
      <c r="C4" s="194"/>
      <c r="D4" s="194"/>
      <c r="E4" s="194"/>
      <c r="F4" s="195"/>
      <c r="L4" s="111" t="s">
        <v>19</v>
      </c>
      <c r="M4" s="110"/>
      <c r="N4" s="112"/>
    </row>
    <row r="5" spans="2:14" ht="3.75" customHeight="1" thickBot="1">
      <c r="B5" s="121"/>
      <c r="C5" s="121"/>
      <c r="D5" s="121"/>
      <c r="E5" s="121"/>
      <c r="F5" s="121"/>
    </row>
    <row r="6" spans="2:14" ht="15.6">
      <c r="B6" s="8" t="s">
        <v>65</v>
      </c>
      <c r="C6" s="9"/>
      <c r="D6" s="10" t="s">
        <v>66</v>
      </c>
      <c r="E6" s="71" t="s">
        <v>86</v>
      </c>
      <c r="F6" s="11"/>
    </row>
    <row r="7" spans="2:14">
      <c r="B7" s="12"/>
      <c r="C7" s="13"/>
      <c r="D7" s="14"/>
      <c r="E7" s="14"/>
      <c r="F7" s="15"/>
    </row>
    <row r="8" spans="2:14">
      <c r="B8" s="73" t="s">
        <v>28</v>
      </c>
      <c r="C8" s="13"/>
      <c r="D8" s="14"/>
      <c r="E8" s="14"/>
      <c r="F8" s="15"/>
      <c r="J8" s="7" t="s">
        <v>126</v>
      </c>
      <c r="K8" s="7" t="s">
        <v>127</v>
      </c>
    </row>
    <row r="9" spans="2:14">
      <c r="B9" s="73"/>
      <c r="C9" s="13"/>
      <c r="D9" s="14"/>
      <c r="E9" s="14"/>
      <c r="F9" s="15"/>
      <c r="I9" s="126">
        <f>LNG!M8</f>
        <v>45017</v>
      </c>
      <c r="J9" s="127">
        <f>LNG!M9</f>
        <v>159.76317989399999</v>
      </c>
      <c r="K9" s="7">
        <f>LNG!M10</f>
        <v>115.402315575</v>
      </c>
    </row>
    <row r="10" spans="2:14">
      <c r="B10" s="16"/>
      <c r="C10" s="17" t="s">
        <v>5</v>
      </c>
      <c r="D10" s="18">
        <v>527803.19999999995</v>
      </c>
      <c r="E10" s="18">
        <f>D10*$I$2</f>
        <v>605202.20840021386</v>
      </c>
      <c r="F10" s="19" t="s">
        <v>6</v>
      </c>
      <c r="G10" s="7" t="s">
        <v>7</v>
      </c>
      <c r="H10" s="7" t="s">
        <v>102</v>
      </c>
    </row>
    <row r="11" spans="2:14">
      <c r="B11" s="16"/>
      <c r="C11" s="17" t="s">
        <v>89</v>
      </c>
      <c r="D11" s="18">
        <v>91638.66</v>
      </c>
      <c r="E11" s="18">
        <f t="shared" ref="E11:E61" si="0">D11*$I$2</f>
        <v>105076.89117238462</v>
      </c>
      <c r="F11" s="19" t="s">
        <v>6</v>
      </c>
      <c r="G11" s="7" t="s">
        <v>7</v>
      </c>
      <c r="H11" s="7" t="s">
        <v>102</v>
      </c>
      <c r="J11" s="7" t="s">
        <v>128</v>
      </c>
      <c r="K11" s="7" t="s">
        <v>129</v>
      </c>
    </row>
    <row r="12" spans="2:14">
      <c r="B12" s="16"/>
      <c r="C12" s="17" t="s">
        <v>90</v>
      </c>
      <c r="D12" s="18">
        <v>220619.5</v>
      </c>
      <c r="E12" s="18">
        <f t="shared" si="0"/>
        <v>252971.95738137056</v>
      </c>
      <c r="F12" s="19" t="s">
        <v>6</v>
      </c>
      <c r="G12" s="7" t="s">
        <v>7</v>
      </c>
      <c r="H12" s="7" t="str">
        <f>""</f>
        <v/>
      </c>
      <c r="J12" s="7">
        <f>(0.65+0.35*J9/112.59)</f>
        <v>1.1466436891633358</v>
      </c>
      <c r="K12" s="7">
        <f>0.65+0.35*K9/97.94</f>
        <v>1.0624036190652442</v>
      </c>
    </row>
    <row r="13" spans="2:14">
      <c r="B13" s="16"/>
      <c r="C13" s="17" t="s">
        <v>91</v>
      </c>
      <c r="D13" s="18">
        <v>215545.04</v>
      </c>
      <c r="E13" s="18">
        <f t="shared" si="0"/>
        <v>247153.3598464588</v>
      </c>
      <c r="F13" s="19" t="s">
        <v>6</v>
      </c>
      <c r="G13" s="7" t="s">
        <v>7</v>
      </c>
      <c r="H13" s="7" t="str">
        <f>""</f>
        <v/>
      </c>
    </row>
    <row r="14" spans="2:14">
      <c r="B14" s="20"/>
      <c r="C14" s="21"/>
      <c r="D14" s="22"/>
      <c r="E14" s="18"/>
      <c r="F14" s="19"/>
      <c r="L14" s="7" t="s">
        <v>151</v>
      </c>
    </row>
    <row r="15" spans="2:14">
      <c r="B15" s="74" t="s">
        <v>15</v>
      </c>
      <c r="C15" s="21"/>
      <c r="D15" s="23"/>
      <c r="E15" s="18"/>
      <c r="F15" s="19"/>
    </row>
    <row r="16" spans="2:14">
      <c r="B16" s="74"/>
      <c r="C16" s="21"/>
      <c r="D16" s="23"/>
      <c r="E16" s="18"/>
      <c r="F16" s="19"/>
      <c r="L16" s="7" t="str">
        <f>C11</f>
        <v>Berthing Right</v>
      </c>
    </row>
    <row r="17" spans="2:12">
      <c r="B17" s="20"/>
      <c r="C17" s="24" t="s">
        <v>29</v>
      </c>
      <c r="D17" s="25">
        <v>67.790000000000006</v>
      </c>
      <c r="E17" s="18">
        <f t="shared" si="0"/>
        <v>77.730975688382543</v>
      </c>
      <c r="F17" s="19" t="s">
        <v>95</v>
      </c>
      <c r="G17" s="21" t="s">
        <v>98</v>
      </c>
      <c r="H17" s="21" t="s">
        <v>102</v>
      </c>
      <c r="L17" s="7" t="str">
        <f>C33</f>
        <v>Additional Berthing Right</v>
      </c>
    </row>
    <row r="18" spans="2:12">
      <c r="B18" s="20"/>
      <c r="C18" s="26" t="s">
        <v>30</v>
      </c>
      <c r="D18" s="25">
        <v>1.37</v>
      </c>
      <c r="E18" s="18">
        <f t="shared" si="0"/>
        <v>1.5709018541537703</v>
      </c>
      <c r="F18" s="19" t="s">
        <v>49</v>
      </c>
      <c r="G18" s="21" t="s">
        <v>99</v>
      </c>
      <c r="H18" s="21" t="s">
        <v>102</v>
      </c>
      <c r="L18" s="7" t="str">
        <f>C34</f>
        <v>"Ship Loading" Service (in the framework of an Additional Berthing Right or a Berthing Right)</v>
      </c>
    </row>
    <row r="19" spans="2:12">
      <c r="B19" s="20"/>
      <c r="C19" s="26" t="s">
        <v>144</v>
      </c>
      <c r="D19" s="25">
        <v>1.37</v>
      </c>
      <c r="E19" s="18">
        <f t="shared" ref="E19" si="1">D19*$I$2</f>
        <v>1.5709018541537703</v>
      </c>
      <c r="F19" s="19" t="s">
        <v>49</v>
      </c>
      <c r="G19" s="21" t="s">
        <v>99</v>
      </c>
      <c r="H19" s="21" t="s">
        <v>102</v>
      </c>
      <c r="L19" s="7" t="str">
        <f>C40</f>
        <v>Stand Alone Berthing Right</v>
      </c>
    </row>
    <row r="20" spans="2:12">
      <c r="B20" s="20"/>
      <c r="C20" s="21" t="s">
        <v>31</v>
      </c>
      <c r="D20" s="25" t="s">
        <v>133</v>
      </c>
      <c r="E20" s="18">
        <f>(J20*0.7)/365</f>
        <v>0.14907123287671234</v>
      </c>
      <c r="F20" s="19" t="s">
        <v>47</v>
      </c>
      <c r="G20" s="21" t="s">
        <v>100</v>
      </c>
      <c r="H20" s="21" t="s">
        <v>103</v>
      </c>
      <c r="I20" s="102" t="s">
        <v>87</v>
      </c>
      <c r="J20" s="103">
        <f>ROUND(67.79*I2,2)</f>
        <v>77.73</v>
      </c>
      <c r="K20" s="104" t="s">
        <v>104</v>
      </c>
      <c r="L20" s="7" t="str">
        <f>C41</f>
        <v>"Ship Loading" Service (in the framework of a Stand Alone Berthing Right)</v>
      </c>
    </row>
    <row r="21" spans="2:12">
      <c r="B21" s="20"/>
      <c r="C21" s="26" t="s">
        <v>32</v>
      </c>
      <c r="D21" s="25" t="s">
        <v>134</v>
      </c>
      <c r="E21" s="18">
        <f>J21/365</f>
        <v>4.3013698630136989E-3</v>
      </c>
      <c r="F21" s="19" t="s">
        <v>48</v>
      </c>
      <c r="G21" s="21" t="s">
        <v>101</v>
      </c>
      <c r="H21" s="21" t="s">
        <v>103</v>
      </c>
      <c r="I21" s="105"/>
      <c r="J21" s="21">
        <f>ROUND(1.37*$I$2,2)</f>
        <v>1.57</v>
      </c>
      <c r="K21" s="106" t="s">
        <v>88</v>
      </c>
      <c r="L21" s="7" t="str">
        <f>C32</f>
        <v>Ship Approval Service</v>
      </c>
    </row>
    <row r="22" spans="2:12">
      <c r="B22" s="20"/>
      <c r="C22" s="26" t="s">
        <v>33</v>
      </c>
      <c r="D22" s="23">
        <v>0.82</v>
      </c>
      <c r="E22" s="18">
        <f t="shared" si="0"/>
        <v>0.94024782511393534</v>
      </c>
      <c r="F22" s="19" t="s">
        <v>49</v>
      </c>
      <c r="G22" s="21" t="s">
        <v>99</v>
      </c>
      <c r="H22" s="21" t="s">
        <v>102</v>
      </c>
      <c r="I22" s="105"/>
      <c r="J22" s="21"/>
      <c r="K22" s="107"/>
      <c r="L22" s="7" t="str">
        <f>C35</f>
        <v xml:space="preserve">"Gassing Up" Service </v>
      </c>
    </row>
    <row r="23" spans="2:12">
      <c r="B23" s="101"/>
      <c r="C23" s="26" t="s">
        <v>34</v>
      </c>
      <c r="D23" s="25" t="s">
        <v>134</v>
      </c>
      <c r="E23" s="18">
        <f>J23/365</f>
        <v>4.3013698630136989E-3</v>
      </c>
      <c r="F23" s="19" t="s">
        <v>48</v>
      </c>
      <c r="G23" s="21" t="s">
        <v>101</v>
      </c>
      <c r="H23" s="21" t="s">
        <v>103</v>
      </c>
      <c r="I23" s="108"/>
      <c r="J23" s="34">
        <f>ROUND(1.37*$I$2,2)</f>
        <v>1.57</v>
      </c>
      <c r="K23" s="109" t="s">
        <v>88</v>
      </c>
      <c r="L23" s="7" t="str">
        <f>C36</f>
        <v>"Cool Down" Service</v>
      </c>
    </row>
    <row r="24" spans="2:12" ht="41.4">
      <c r="B24" s="101"/>
      <c r="C24" s="117" t="s">
        <v>121</v>
      </c>
      <c r="D24" s="119">
        <v>32.15</v>
      </c>
      <c r="E24" s="118">
        <f t="shared" si="0"/>
        <v>36.864594606601244</v>
      </c>
      <c r="F24" s="122" t="s">
        <v>122</v>
      </c>
      <c r="G24" s="21" t="s">
        <v>98</v>
      </c>
      <c r="H24" s="21" t="s">
        <v>103</v>
      </c>
      <c r="I24" s="21"/>
      <c r="J24" s="21"/>
      <c r="K24" s="115"/>
    </row>
    <row r="25" spans="2:12" hidden="1">
      <c r="B25" s="20"/>
      <c r="C25" s="21"/>
      <c r="D25" s="27"/>
      <c r="E25" s="18"/>
      <c r="F25" s="19"/>
    </row>
    <row r="26" spans="2:12" hidden="1">
      <c r="B26" s="75" t="s">
        <v>35</v>
      </c>
      <c r="C26" s="76"/>
      <c r="D26" s="77"/>
      <c r="E26" s="78"/>
      <c r="F26" s="79"/>
    </row>
    <row r="27" spans="2:12" hidden="1">
      <c r="B27" s="75"/>
      <c r="C27" s="76" t="s">
        <v>36</v>
      </c>
      <c r="D27" s="80">
        <v>0.78</v>
      </c>
      <c r="E27" s="78">
        <f t="shared" si="0"/>
        <v>0.89438207754740195</v>
      </c>
      <c r="F27" s="79" t="s">
        <v>49</v>
      </c>
    </row>
    <row r="28" spans="2:12" hidden="1">
      <c r="B28" s="75"/>
      <c r="C28" s="76" t="s">
        <v>37</v>
      </c>
      <c r="D28" s="80">
        <v>0.78</v>
      </c>
      <c r="E28" s="78">
        <f t="shared" si="0"/>
        <v>0.89438207754740195</v>
      </c>
      <c r="F28" s="79" t="s">
        <v>49</v>
      </c>
    </row>
    <row r="29" spans="2:12">
      <c r="B29" s="20"/>
      <c r="C29" s="21"/>
      <c r="D29" s="28"/>
      <c r="E29" s="18"/>
      <c r="F29" s="19"/>
      <c r="L29" s="7" t="s">
        <v>154</v>
      </c>
    </row>
    <row r="30" spans="2:12">
      <c r="B30" s="81" t="s">
        <v>16</v>
      </c>
      <c r="C30" s="21"/>
      <c r="D30" s="29"/>
      <c r="E30" s="18"/>
      <c r="F30" s="19"/>
    </row>
    <row r="31" spans="2:12">
      <c r="B31" s="81"/>
      <c r="C31" s="21"/>
      <c r="D31" s="29"/>
      <c r="E31" s="18"/>
      <c r="F31" s="19"/>
      <c r="L31" s="7" t="str">
        <f>C12</f>
        <v>Basic Storage</v>
      </c>
    </row>
    <row r="32" spans="2:12">
      <c r="B32" s="16"/>
      <c r="C32" s="21" t="s">
        <v>38</v>
      </c>
      <c r="D32" s="18">
        <v>7364</v>
      </c>
      <c r="E32" s="18">
        <f>D32*$I$2</f>
        <v>8443.8841269988043</v>
      </c>
      <c r="F32" s="19" t="s">
        <v>50</v>
      </c>
      <c r="G32" s="21" t="s">
        <v>106</v>
      </c>
      <c r="L32" s="7" t="str">
        <f>C17</f>
        <v>Additional Storage Capacity</v>
      </c>
    </row>
    <row r="33" spans="2:12">
      <c r="B33" s="20"/>
      <c r="C33" s="17" t="s">
        <v>39</v>
      </c>
      <c r="D33" s="18">
        <v>75000</v>
      </c>
      <c r="E33" s="18">
        <f>D33*$I$2</f>
        <v>85998.276687250182</v>
      </c>
      <c r="F33" s="41" t="s">
        <v>51</v>
      </c>
      <c r="G33" s="24" t="s">
        <v>107</v>
      </c>
      <c r="L33" s="7" t="str">
        <f>C20</f>
        <v>Daily Storage Capacity</v>
      </c>
    </row>
    <row r="34" spans="2:12">
      <c r="B34" s="20"/>
      <c r="C34" s="21" t="s">
        <v>123</v>
      </c>
      <c r="D34" s="23">
        <v>0.18</v>
      </c>
      <c r="E34" s="18">
        <f>D34*$I$2</f>
        <v>0.20639586404940044</v>
      </c>
      <c r="F34" s="19" t="s">
        <v>52</v>
      </c>
      <c r="G34" s="21" t="s">
        <v>105</v>
      </c>
      <c r="L34" s="7" t="str">
        <f>C24</f>
        <v>Residual Storage Capacity</v>
      </c>
    </row>
    <row r="35" spans="2:12">
      <c r="B35" s="20"/>
      <c r="C35" s="21" t="s">
        <v>115</v>
      </c>
      <c r="D35" s="18">
        <v>544</v>
      </c>
      <c r="E35" s="18">
        <f>D35*$I$2</f>
        <v>623.77416690485472</v>
      </c>
      <c r="F35" s="19" t="s">
        <v>53</v>
      </c>
      <c r="G35" s="21" t="s">
        <v>108</v>
      </c>
      <c r="L35" s="7" t="str">
        <f>C78</f>
        <v>Transshipment Storage</v>
      </c>
    </row>
    <row r="36" spans="2:12" ht="12.75" customHeight="1">
      <c r="B36" s="20"/>
      <c r="C36" s="21" t="s">
        <v>116</v>
      </c>
      <c r="D36" s="18">
        <v>544</v>
      </c>
      <c r="E36" s="18">
        <f>D36*$I$2</f>
        <v>623.77416690485472</v>
      </c>
      <c r="F36" s="19" t="s">
        <v>53</v>
      </c>
      <c r="G36" s="21" t="s">
        <v>108</v>
      </c>
    </row>
    <row r="37" spans="2:12">
      <c r="B37" s="101"/>
      <c r="C37" s="21"/>
      <c r="D37" s="21"/>
      <c r="E37" s="21"/>
      <c r="F37" s="19"/>
    </row>
    <row r="38" spans="2:12">
      <c r="B38" s="74" t="s">
        <v>136</v>
      </c>
      <c r="C38" s="21"/>
      <c r="D38" s="30"/>
      <c r="E38" s="21"/>
      <c r="F38" s="19"/>
      <c r="L38" s="7" t="s">
        <v>149</v>
      </c>
    </row>
    <row r="39" spans="2:12">
      <c r="B39" s="81"/>
      <c r="C39" s="21"/>
      <c r="D39" s="30"/>
      <c r="E39" s="21"/>
      <c r="F39" s="19"/>
    </row>
    <row r="40" spans="2:12">
      <c r="B40" s="20"/>
      <c r="C40" s="21" t="s">
        <v>135</v>
      </c>
      <c r="D40" s="18">
        <v>25597.21</v>
      </c>
      <c r="E40" s="18">
        <f>D40*$I$2</f>
        <v>29350.879306688628</v>
      </c>
      <c r="F40" s="19" t="s">
        <v>51</v>
      </c>
      <c r="G40" s="24" t="s">
        <v>107</v>
      </c>
      <c r="L40" s="7" t="str">
        <f>C40</f>
        <v>Stand Alone Berthing Right</v>
      </c>
    </row>
    <row r="41" spans="2:12">
      <c r="B41" s="20"/>
      <c r="C41" s="123" t="s">
        <v>137</v>
      </c>
      <c r="D41" s="119">
        <f>25597.21/25561</f>
        <v>1.0014166112436915</v>
      </c>
      <c r="E41" s="118">
        <f>D41*$I$2</f>
        <v>1.1482680375059124</v>
      </c>
      <c r="F41" s="124" t="s">
        <v>52</v>
      </c>
      <c r="G41" s="21" t="s">
        <v>105</v>
      </c>
      <c r="H41" s="7" t="s">
        <v>139</v>
      </c>
      <c r="L41" s="7" t="str">
        <f>C42</f>
        <v>LNG Delivery Service (in the framework of a Stand Alone Berthing Right)</v>
      </c>
    </row>
    <row r="42" spans="2:12">
      <c r="B42" s="20"/>
      <c r="C42" s="123" t="s">
        <v>145</v>
      </c>
      <c r="D42" s="119">
        <v>0.67</v>
      </c>
      <c r="E42" s="118">
        <f>D42*$I$2</f>
        <v>0.76825127173943508</v>
      </c>
      <c r="F42" s="124" t="s">
        <v>140</v>
      </c>
      <c r="G42" s="21" t="s">
        <v>138</v>
      </c>
      <c r="H42" s="7" t="s">
        <v>141</v>
      </c>
    </row>
    <row r="43" spans="2:12">
      <c r="B43" s="20"/>
      <c r="C43" s="123"/>
      <c r="D43" s="119"/>
      <c r="E43" s="118"/>
      <c r="F43" s="124"/>
      <c r="G43" s="21"/>
    </row>
    <row r="44" spans="2:12">
      <c r="B44" s="20" t="s">
        <v>163</v>
      </c>
      <c r="C44" s="123"/>
      <c r="D44" s="119"/>
      <c r="E44" s="118"/>
      <c r="F44" s="124"/>
      <c r="G44" s="21"/>
    </row>
    <row r="45" spans="2:12">
      <c r="B45" s="20"/>
      <c r="C45" s="123" t="s">
        <v>162</v>
      </c>
      <c r="D45" s="119">
        <v>0.1</v>
      </c>
      <c r="E45" s="118">
        <f>D45*$I$2</f>
        <v>0.11466436891633358</v>
      </c>
      <c r="F45" s="124" t="s">
        <v>158</v>
      </c>
      <c r="G45" s="21" t="s">
        <v>159</v>
      </c>
      <c r="L45" s="123" t="s">
        <v>162</v>
      </c>
    </row>
    <row r="46" spans="2:12">
      <c r="B46" s="20"/>
      <c r="C46" s="123" t="s">
        <v>164</v>
      </c>
      <c r="D46" s="119">
        <v>2.54</v>
      </c>
      <c r="E46" s="118">
        <f>ROUND(D46*$I$2,2)</f>
        <v>2.91</v>
      </c>
      <c r="F46" s="118" t="s">
        <v>165</v>
      </c>
      <c r="G46" s="21" t="s">
        <v>167</v>
      </c>
      <c r="L46" s="123" t="s">
        <v>164</v>
      </c>
    </row>
    <row r="47" spans="2:12">
      <c r="B47" s="20"/>
      <c r="C47" s="123" t="s">
        <v>166</v>
      </c>
      <c r="D47" s="119">
        <v>1.78</v>
      </c>
      <c r="E47" s="118">
        <f>ROUND(D47*$I$2,2)</f>
        <v>2.04</v>
      </c>
      <c r="F47" s="118" t="s">
        <v>165</v>
      </c>
      <c r="G47" s="21" t="s">
        <v>167</v>
      </c>
      <c r="L47" s="123" t="s">
        <v>166</v>
      </c>
    </row>
    <row r="48" spans="2:12">
      <c r="B48" s="20"/>
      <c r="C48" s="123"/>
      <c r="D48" s="119"/>
      <c r="E48" s="118"/>
      <c r="F48" s="124"/>
    </row>
    <row r="49" spans="2:12">
      <c r="B49" s="81" t="s">
        <v>40</v>
      </c>
      <c r="C49" s="17"/>
      <c r="D49" s="31"/>
      <c r="E49" s="18"/>
      <c r="F49" s="32"/>
      <c r="L49" s="7" t="s">
        <v>156</v>
      </c>
    </row>
    <row r="50" spans="2:12">
      <c r="B50" s="81"/>
      <c r="C50" s="17"/>
      <c r="D50" s="31"/>
      <c r="E50" s="18"/>
      <c r="F50" s="32"/>
    </row>
    <row r="51" spans="2:12">
      <c r="B51" s="20"/>
      <c r="C51" s="21" t="s">
        <v>41</v>
      </c>
      <c r="D51" s="18">
        <v>914.5</v>
      </c>
      <c r="E51" s="18">
        <f t="shared" si="0"/>
        <v>1048.6056537398706</v>
      </c>
      <c r="F51" s="19" t="s">
        <v>50</v>
      </c>
      <c r="G51" s="21" t="s">
        <v>106</v>
      </c>
      <c r="L51" s="7" t="str">
        <f>C13</f>
        <v xml:space="preserve">Basic Send-Out Capacity (firm) </v>
      </c>
    </row>
    <row r="52" spans="2:12">
      <c r="B52" s="20"/>
      <c r="C52" s="21" t="s">
        <v>42</v>
      </c>
      <c r="D52" s="18">
        <v>489.2</v>
      </c>
      <c r="E52" s="18">
        <f t="shared" si="0"/>
        <v>560.93809273870386</v>
      </c>
      <c r="F52" s="19" t="s">
        <v>124</v>
      </c>
      <c r="G52" s="7" t="s">
        <v>109</v>
      </c>
      <c r="L52" s="7" t="str">
        <f>C18</f>
        <v>Additional Send-Out Capacity (firm)</v>
      </c>
    </row>
    <row r="53" spans="2:12">
      <c r="B53" s="20"/>
      <c r="C53" s="21" t="s">
        <v>43</v>
      </c>
      <c r="D53" s="18">
        <f>2*1088</f>
        <v>2176</v>
      </c>
      <c r="E53" s="18">
        <f t="shared" si="0"/>
        <v>2495.0966676194189</v>
      </c>
      <c r="F53" s="19" t="s">
        <v>50</v>
      </c>
      <c r="G53" s="21" t="s">
        <v>106</v>
      </c>
      <c r="L53" s="7" t="str">
        <f>C19</f>
        <v>Stand Alone Send-Out Capacity (firm)</v>
      </c>
    </row>
    <row r="54" spans="2:12">
      <c r="B54" s="20"/>
      <c r="C54" s="125" t="s">
        <v>125</v>
      </c>
      <c r="D54" s="30"/>
      <c r="E54" s="18"/>
      <c r="F54" s="19"/>
      <c r="L54" s="7" t="str">
        <f>C21</f>
        <v>Daily Send-Out Capacity (firm)</v>
      </c>
    </row>
    <row r="55" spans="2:12">
      <c r="B55" s="20"/>
      <c r="C55" s="125"/>
      <c r="D55" s="30"/>
      <c r="E55" s="18"/>
      <c r="F55" s="19"/>
      <c r="L55" s="7" t="str">
        <f>C23</f>
        <v xml:space="preserve">Non-Nominated Interruptible Send-Out Capacity </v>
      </c>
    </row>
    <row r="56" spans="2:12">
      <c r="B56" s="20" t="s">
        <v>44</v>
      </c>
      <c r="C56" s="21"/>
      <c r="D56" s="18"/>
      <c r="E56" s="18"/>
      <c r="F56" s="19"/>
    </row>
    <row r="57" spans="2:12">
      <c r="B57" s="20"/>
      <c r="C57" s="17" t="s">
        <v>45</v>
      </c>
      <c r="D57" s="18">
        <v>1147.5</v>
      </c>
      <c r="E57" s="18">
        <f t="shared" si="0"/>
        <v>1315.7736333149278</v>
      </c>
      <c r="F57" s="19" t="s">
        <v>54</v>
      </c>
      <c r="G57" s="7" t="s">
        <v>110</v>
      </c>
    </row>
    <row r="58" spans="2:12">
      <c r="B58" s="20"/>
      <c r="C58" s="21"/>
      <c r="D58" s="33"/>
      <c r="E58" s="18"/>
      <c r="F58" s="19"/>
    </row>
    <row r="59" spans="2:12">
      <c r="B59" s="20" t="s">
        <v>46</v>
      </c>
      <c r="C59" s="21"/>
      <c r="D59" s="18">
        <v>5000</v>
      </c>
      <c r="E59" s="18">
        <f t="shared" si="0"/>
        <v>5733.2184458166794</v>
      </c>
      <c r="F59" s="19" t="s">
        <v>55</v>
      </c>
      <c r="G59" s="7" t="s">
        <v>111</v>
      </c>
    </row>
    <row r="60" spans="2:12">
      <c r="B60" s="20"/>
      <c r="C60" s="21"/>
      <c r="D60" s="25"/>
      <c r="E60" s="18"/>
      <c r="F60" s="19"/>
    </row>
    <row r="61" spans="2:12">
      <c r="B61" s="20" t="s">
        <v>20</v>
      </c>
      <c r="C61" s="21"/>
      <c r="D61" s="18">
        <v>5000</v>
      </c>
      <c r="E61" s="18">
        <f t="shared" si="0"/>
        <v>5733.2184458166794</v>
      </c>
      <c r="F61" s="19" t="s">
        <v>21</v>
      </c>
      <c r="G61" s="113" t="s">
        <v>113</v>
      </c>
    </row>
    <row r="62" spans="2:12" ht="14.4" thickBot="1">
      <c r="B62" s="42"/>
      <c r="C62" s="48"/>
      <c r="D62" s="100"/>
      <c r="E62" s="100"/>
      <c r="F62" s="99"/>
    </row>
    <row r="63" spans="2:12" hidden="1">
      <c r="B63" s="35" t="s">
        <v>56</v>
      </c>
      <c r="C63" s="21"/>
      <c r="D63" s="29"/>
      <c r="E63" s="29"/>
      <c r="F63" s="19"/>
    </row>
    <row r="64" spans="2:12" ht="12.75" hidden="1" customHeight="1">
      <c r="B64" s="36"/>
      <c r="C64" s="50" t="s">
        <v>57</v>
      </c>
      <c r="D64" s="51"/>
      <c r="E64" s="51"/>
      <c r="F64" s="52"/>
    </row>
    <row r="65" spans="2:8" ht="15" hidden="1">
      <c r="B65" s="37"/>
      <c r="C65" s="53" t="s">
        <v>22</v>
      </c>
      <c r="D65" s="53"/>
      <c r="E65" s="53"/>
      <c r="F65" s="54"/>
    </row>
    <row r="66" spans="2:8" hidden="1">
      <c r="B66" s="37"/>
      <c r="C66" s="55" t="s">
        <v>58</v>
      </c>
      <c r="D66" s="55"/>
      <c r="E66" s="55"/>
      <c r="F66" s="56"/>
    </row>
    <row r="67" spans="2:8" hidden="1">
      <c r="B67" s="37"/>
      <c r="C67" s="57" t="s">
        <v>59</v>
      </c>
      <c r="D67" s="58"/>
      <c r="E67" s="58"/>
      <c r="F67" s="59"/>
    </row>
    <row r="68" spans="2:8" hidden="1">
      <c r="B68" s="37"/>
      <c r="C68" s="57" t="s">
        <v>60</v>
      </c>
      <c r="D68" s="58"/>
      <c r="E68" s="58"/>
      <c r="F68" s="59"/>
    </row>
    <row r="69" spans="2:8" hidden="1">
      <c r="B69" s="37"/>
      <c r="C69" s="60" t="s">
        <v>61</v>
      </c>
      <c r="D69" s="60"/>
      <c r="E69" s="60"/>
      <c r="F69" s="61"/>
    </row>
    <row r="70" spans="2:8" hidden="1">
      <c r="B70" s="37"/>
      <c r="C70" s="62" t="s">
        <v>62</v>
      </c>
      <c r="D70" s="63"/>
      <c r="E70" s="63"/>
      <c r="F70" s="64"/>
    </row>
    <row r="71" spans="2:8" hidden="1">
      <c r="B71" s="37"/>
      <c r="C71" s="62" t="s">
        <v>63</v>
      </c>
      <c r="D71" s="63"/>
      <c r="E71" s="63"/>
      <c r="F71" s="64"/>
    </row>
    <row r="72" spans="2:8" ht="14.4" hidden="1" thickBot="1">
      <c r="B72" s="38"/>
      <c r="C72" s="65" t="s">
        <v>64</v>
      </c>
      <c r="D72" s="66"/>
      <c r="E72" s="66"/>
      <c r="F72" s="67"/>
    </row>
    <row r="73" spans="2:8" ht="16.2" thickBot="1">
      <c r="D73" s="40"/>
      <c r="E73" s="40"/>
    </row>
    <row r="74" spans="2:8" ht="15.6">
      <c r="B74" s="8" t="s">
        <v>67</v>
      </c>
      <c r="C74" s="9"/>
      <c r="D74" s="10" t="s">
        <v>68</v>
      </c>
      <c r="E74" s="10"/>
      <c r="F74" s="11"/>
    </row>
    <row r="75" spans="2:8">
      <c r="B75" s="12"/>
      <c r="C75" s="13"/>
      <c r="D75" s="14"/>
      <c r="E75" s="14"/>
      <c r="F75" s="15"/>
    </row>
    <row r="76" spans="2:8">
      <c r="B76" s="81" t="s">
        <v>69</v>
      </c>
      <c r="C76" s="17"/>
      <c r="D76" s="18"/>
      <c r="E76" s="18"/>
      <c r="F76" s="19"/>
    </row>
    <row r="77" spans="2:8">
      <c r="B77" s="81"/>
      <c r="C77" s="17"/>
      <c r="D77" s="18"/>
      <c r="E77" s="18"/>
      <c r="F77" s="19"/>
    </row>
    <row r="78" spans="2:8">
      <c r="B78" s="16"/>
      <c r="C78" s="17" t="s">
        <v>23</v>
      </c>
      <c r="D78" s="18">
        <v>131.1</v>
      </c>
      <c r="E78" s="18">
        <f>D78*$J$2</f>
        <v>139.28111445945351</v>
      </c>
      <c r="F78" s="19" t="s">
        <v>96</v>
      </c>
      <c r="G78" s="21" t="s">
        <v>98</v>
      </c>
      <c r="H78" s="21" t="s">
        <v>102</v>
      </c>
    </row>
    <row r="79" spans="2:8">
      <c r="B79" s="16"/>
      <c r="C79" s="17" t="s">
        <v>24</v>
      </c>
      <c r="D79" s="18">
        <v>136390</v>
      </c>
      <c r="E79" s="18">
        <f>D79*$J$2</f>
        <v>144901.22960430864</v>
      </c>
      <c r="F79" s="19" t="s">
        <v>97</v>
      </c>
      <c r="G79" s="7" t="s">
        <v>112</v>
      </c>
      <c r="H79" s="72" t="s">
        <v>4</v>
      </c>
    </row>
    <row r="80" spans="2:8" ht="14.4" thickBot="1">
      <c r="B80" s="96"/>
      <c r="C80" s="97"/>
      <c r="D80" s="98"/>
      <c r="E80" s="98"/>
      <c r="F80" s="99"/>
    </row>
    <row r="81" spans="2:6" ht="13.5" hidden="1" customHeight="1">
      <c r="B81" s="35" t="s">
        <v>70</v>
      </c>
      <c r="C81" s="21"/>
      <c r="D81" s="29"/>
      <c r="E81" s="29"/>
      <c r="F81" s="19"/>
    </row>
    <row r="82" spans="2:6" ht="12.75" hidden="1" customHeight="1">
      <c r="B82" s="36"/>
      <c r="C82" s="196" t="s">
        <v>71</v>
      </c>
      <c r="D82" s="197"/>
      <c r="E82" s="197"/>
      <c r="F82" s="198"/>
    </row>
    <row r="83" spans="2:6" ht="15" hidden="1">
      <c r="B83" s="37"/>
      <c r="C83" s="199" t="s">
        <v>22</v>
      </c>
      <c r="D83" s="199"/>
      <c r="E83" s="199"/>
      <c r="F83" s="200"/>
    </row>
    <row r="84" spans="2:6" hidden="1">
      <c r="B84" s="37"/>
      <c r="C84" s="184" t="s">
        <v>58</v>
      </c>
      <c r="D84" s="184"/>
      <c r="E84" s="184"/>
      <c r="F84" s="185"/>
    </row>
    <row r="85" spans="2:6" hidden="1">
      <c r="B85" s="37"/>
      <c r="C85" s="205" t="s">
        <v>72</v>
      </c>
      <c r="D85" s="206"/>
      <c r="E85" s="206"/>
      <c r="F85" s="207"/>
    </row>
    <row r="86" spans="2:6" hidden="1">
      <c r="B86" s="37"/>
      <c r="C86" s="205" t="s">
        <v>60</v>
      </c>
      <c r="D86" s="206"/>
      <c r="E86" s="206"/>
      <c r="F86" s="207"/>
    </row>
    <row r="87" spans="2:6" hidden="1">
      <c r="B87" s="37"/>
      <c r="C87" s="208" t="s">
        <v>61</v>
      </c>
      <c r="D87" s="208"/>
      <c r="E87" s="208"/>
      <c r="F87" s="209"/>
    </row>
    <row r="88" spans="2:6" hidden="1">
      <c r="B88" s="37"/>
      <c r="C88" s="210" t="s">
        <v>73</v>
      </c>
      <c r="D88" s="211"/>
      <c r="E88" s="211"/>
      <c r="F88" s="212"/>
    </row>
    <row r="89" spans="2:6" hidden="1">
      <c r="B89" s="37"/>
      <c r="C89" s="210" t="s">
        <v>74</v>
      </c>
      <c r="D89" s="211"/>
      <c r="E89" s="211"/>
      <c r="F89" s="212"/>
    </row>
    <row r="90" spans="2:6" hidden="1">
      <c r="B90" s="37"/>
      <c r="C90" s="205" t="s">
        <v>64</v>
      </c>
      <c r="D90" s="206"/>
      <c r="E90" s="206"/>
      <c r="F90" s="207"/>
    </row>
    <row r="91" spans="2:6" ht="14.4" hidden="1" thickBot="1">
      <c r="B91" s="42"/>
      <c r="C91" s="43"/>
      <c r="D91" s="44"/>
      <c r="E91" s="44"/>
      <c r="F91" s="45"/>
    </row>
    <row r="92" spans="2:6" ht="14.4" thickBot="1"/>
    <row r="93" spans="2:6" ht="15.6">
      <c r="B93" s="8" t="s">
        <v>75</v>
      </c>
      <c r="C93" s="9"/>
      <c r="D93" s="10" t="s">
        <v>76</v>
      </c>
      <c r="E93" s="10"/>
      <c r="F93" s="11"/>
    </row>
    <row r="94" spans="2:6">
      <c r="B94" s="12"/>
      <c r="C94" s="13"/>
      <c r="D94" s="14"/>
      <c r="E94" s="14"/>
      <c r="F94" s="15"/>
    </row>
    <row r="95" spans="2:6">
      <c r="B95" s="20" t="s">
        <v>26</v>
      </c>
      <c r="C95" s="21"/>
      <c r="D95" s="18">
        <v>75000</v>
      </c>
      <c r="E95" s="18">
        <f>D95</f>
        <v>75000</v>
      </c>
      <c r="F95" s="19" t="s">
        <v>77</v>
      </c>
    </row>
    <row r="96" spans="2:6">
      <c r="B96" s="20"/>
      <c r="C96" s="21"/>
      <c r="D96" s="27"/>
      <c r="E96" s="27"/>
      <c r="F96" s="19"/>
    </row>
    <row r="97" spans="2:8">
      <c r="B97" s="20" t="s">
        <v>78</v>
      </c>
      <c r="C97" s="21"/>
      <c r="D97" s="25">
        <v>1.3</v>
      </c>
      <c r="E97" s="18">
        <f>D97</f>
        <v>1.3</v>
      </c>
      <c r="F97" s="19" t="s">
        <v>27</v>
      </c>
    </row>
    <row r="98" spans="2:8">
      <c r="B98" s="20"/>
      <c r="C98" s="21"/>
      <c r="D98" s="25"/>
      <c r="E98" s="25"/>
      <c r="F98" s="19"/>
    </row>
    <row r="99" spans="2:8">
      <c r="B99" s="20" t="s">
        <v>79</v>
      </c>
      <c r="C99" s="13"/>
      <c r="D99" s="47">
        <v>0.03</v>
      </c>
      <c r="E99" s="22">
        <v>3</v>
      </c>
      <c r="F99" s="19" t="s">
        <v>27</v>
      </c>
      <c r="H99" s="88" t="s">
        <v>94</v>
      </c>
    </row>
    <row r="100" spans="2:8">
      <c r="B100" s="12"/>
      <c r="C100" s="13"/>
      <c r="D100" s="14"/>
      <c r="E100" s="14"/>
      <c r="F100" s="15"/>
    </row>
    <row r="101" spans="2:8">
      <c r="B101" s="20" t="s">
        <v>80</v>
      </c>
      <c r="C101" s="83"/>
      <c r="D101" s="47">
        <v>0.1</v>
      </c>
      <c r="E101" s="22">
        <v>10</v>
      </c>
      <c r="F101" s="19" t="s">
        <v>27</v>
      </c>
      <c r="H101" s="88" t="s">
        <v>81</v>
      </c>
    </row>
    <row r="102" spans="2:8">
      <c r="B102" s="82"/>
      <c r="C102" s="83"/>
      <c r="D102" s="84"/>
      <c r="E102" s="84"/>
      <c r="F102" s="87"/>
    </row>
    <row r="103" spans="2:8" ht="14.4" thickBot="1">
      <c r="B103" s="42" t="s">
        <v>82</v>
      </c>
      <c r="C103" s="85"/>
      <c r="D103" s="86" t="s">
        <v>25</v>
      </c>
      <c r="E103" s="86" t="s">
        <v>25</v>
      </c>
      <c r="F103" s="89"/>
      <c r="H103" s="114" t="s">
        <v>114</v>
      </c>
    </row>
    <row r="104" spans="2:8">
      <c r="B104" s="49"/>
      <c r="C104" s="13"/>
      <c r="D104" s="14"/>
      <c r="E104" s="14"/>
      <c r="F104" s="13"/>
    </row>
    <row r="105" spans="2:8" s="90" customFormat="1" ht="15.6" hidden="1">
      <c r="B105" s="91" t="s">
        <v>83</v>
      </c>
      <c r="C105" s="92"/>
      <c r="D105" s="93"/>
      <c r="E105" s="93"/>
      <c r="F105" s="94"/>
    </row>
    <row r="106" spans="2:8" s="90" customFormat="1" hidden="1">
      <c r="B106" s="75"/>
      <c r="C106" s="201" t="s">
        <v>84</v>
      </c>
      <c r="D106" s="201"/>
      <c r="E106" s="201"/>
      <c r="F106" s="202"/>
    </row>
    <row r="107" spans="2:8" s="90" customFormat="1" ht="29.25" hidden="1" customHeight="1" thickBot="1">
      <c r="B107" s="95"/>
      <c r="C107" s="203" t="s">
        <v>85</v>
      </c>
      <c r="D107" s="203"/>
      <c r="E107" s="203"/>
      <c r="F107" s="204"/>
    </row>
  </sheetData>
  <mergeCells count="14">
    <mergeCell ref="C106:F106"/>
    <mergeCell ref="C107:F107"/>
    <mergeCell ref="C85:F85"/>
    <mergeCell ref="C86:F86"/>
    <mergeCell ref="C87:F87"/>
    <mergeCell ref="C88:F88"/>
    <mergeCell ref="C89:F89"/>
    <mergeCell ref="C90:F90"/>
    <mergeCell ref="C84:F84"/>
    <mergeCell ref="B1:F1"/>
    <mergeCell ref="B2:F2"/>
    <mergeCell ref="B3:F4"/>
    <mergeCell ref="C82:F82"/>
    <mergeCell ref="C83: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Yigit Anéli</cp:lastModifiedBy>
  <cp:lastPrinted>2015-11-17T07:48:22Z</cp:lastPrinted>
  <dcterms:created xsi:type="dcterms:W3CDTF">2005-02-08T08:04:03Z</dcterms:created>
  <dcterms:modified xsi:type="dcterms:W3CDTF">2023-05-03T08:47:19Z</dcterms:modified>
</cp:coreProperties>
</file>