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100 Regulatory\040 Tariffs\2020-2023\Transport\Webdocs &amp; publications transport\Modèle simplifié\"/>
    </mc:Choice>
  </mc:AlternateContent>
  <xr:revisionPtr revIDLastSave="0" documentId="13_ncr:1_{265D92D5-730A-4942-8459-5571041A5E69}" xr6:coauthVersionLast="36" xr6:coauthVersionMax="36" xr10:uidLastSave="{00000000-0000-0000-0000-000000000000}"/>
  <workbookProtection workbookAlgorithmName="SHA-512" workbookHashValue="3v8hn3Ag86cHsdcnajM2BWZ1es86VIU0h8LQUxGZnlAwzgFJxtyM91MVQaTn8y1hnpL5ZWbwhcp5yJjG3p+J7Q==" workbookSaltValue="OLIjCME0tv2x3wiskHTjlg==" workbookSpinCount="100000" lockStructure="1"/>
  <bookViews>
    <workbookView xWindow="0" yWindow="0" windowWidth="28800" windowHeight="12225" xr2:uid="{F35EF387-CD09-40A8-B763-757DCF02FE8B}"/>
  </bookViews>
  <sheets>
    <sheet name="Read &amp; Disclaimer" sheetId="2" r:id="rId1"/>
    <sheet name="Input data &amp; Output tariffs" sheetId="3" r:id="rId2"/>
    <sheet name="Simplified tariff model" sheetId="1" r:id="rId3"/>
  </sheets>
  <definedNames>
    <definedName name="solver_eng" localSheetId="2" hidden="1">1</definedName>
    <definedName name="solver_neg" localSheetId="2" hidden="1">1</definedName>
    <definedName name="solver_num" localSheetId="2" hidden="1">0</definedName>
    <definedName name="solver_opt" localSheetId="2" hidden="1">'Simplified tariff model'!$AG$22</definedName>
    <definedName name="solver_typ" localSheetId="2" hidden="1">1</definedName>
    <definedName name="solver_val" localSheetId="2" hidden="1">0</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4" i="1" l="1"/>
  <c r="G74" i="1"/>
  <c r="F74" i="1"/>
  <c r="AG20" i="1"/>
  <c r="F38" i="3"/>
  <c r="L9" i="3"/>
  <c r="N9" i="3" s="1"/>
  <c r="L10" i="3"/>
  <c r="N10" i="3" s="1"/>
  <c r="L11" i="3"/>
  <c r="N11" i="3" s="1"/>
  <c r="L12" i="3"/>
  <c r="N12" i="3" s="1"/>
  <c r="L13" i="3"/>
  <c r="N13" i="3" s="1"/>
  <c r="L14" i="3"/>
  <c r="N14" i="3" s="1"/>
  <c r="L15" i="3"/>
  <c r="N15" i="3" s="1"/>
  <c r="L16" i="3"/>
  <c r="N16" i="3" s="1"/>
  <c r="L8" i="3"/>
  <c r="N8" i="3" s="1"/>
  <c r="AG8" i="1"/>
  <c r="E38" i="3"/>
  <c r="AG9" i="1" s="1"/>
  <c r="AF6" i="1"/>
  <c r="AG21" i="1" s="1"/>
  <c r="AA20" i="1"/>
  <c r="Z20" i="1"/>
  <c r="Y20" i="1"/>
  <c r="W20" i="1"/>
  <c r="V20" i="1"/>
  <c r="T20" i="1"/>
  <c r="S20" i="1"/>
  <c r="AB19" i="1"/>
  <c r="AB15" i="1"/>
  <c r="AB14" i="1"/>
  <c r="AB13" i="1"/>
  <c r="AB12" i="1"/>
  <c r="AB11" i="1"/>
  <c r="AB10" i="1"/>
  <c r="AB9" i="1"/>
  <c r="AF17" i="1" l="1"/>
  <c r="S21" i="1" l="1"/>
  <c r="T21" i="1"/>
  <c r="U21" i="1"/>
  <c r="V21" i="1"/>
  <c r="W21" i="1"/>
  <c r="X21" i="1"/>
  <c r="Y21" i="1"/>
  <c r="Z21" i="1"/>
  <c r="AA21" i="1"/>
  <c r="R21" i="1"/>
  <c r="AC10" i="1"/>
  <c r="AC11" i="1"/>
  <c r="AC12" i="1"/>
  <c r="AC13" i="1"/>
  <c r="AC14" i="1"/>
  <c r="AC15" i="1"/>
  <c r="AC16" i="1"/>
  <c r="AC17" i="1"/>
  <c r="AC18" i="1"/>
  <c r="AC9" i="1"/>
  <c r="N26" i="1" l="1"/>
  <c r="N27" i="1"/>
  <c r="N28" i="1"/>
  <c r="N29" i="1"/>
  <c r="N30" i="1"/>
  <c r="N31" i="1"/>
  <c r="N32" i="1"/>
  <c r="N33" i="1"/>
  <c r="N35" i="1"/>
  <c r="N34" i="1"/>
  <c r="F75" i="1"/>
  <c r="G75" i="1" s="1"/>
  <c r="H75" i="1" s="1"/>
  <c r="K36" i="1"/>
  <c r="Y36" i="1" s="1"/>
  <c r="J36" i="1"/>
  <c r="X36" i="1" s="1"/>
  <c r="M36" i="1"/>
  <c r="AA36" i="1" s="1"/>
  <c r="L36" i="1"/>
  <c r="Z36" i="1" s="1"/>
  <c r="G36" i="1"/>
  <c r="U36" i="1" s="1"/>
  <c r="E36" i="1"/>
  <c r="S36" i="1" s="1"/>
  <c r="D36" i="1"/>
  <c r="R36" i="1" s="1"/>
  <c r="F36" i="1"/>
  <c r="T36" i="1" s="1"/>
  <c r="H36" i="1"/>
  <c r="V36" i="1" s="1"/>
  <c r="I36" i="1"/>
  <c r="W36" i="1" s="1"/>
  <c r="I75" i="1" l="1"/>
  <c r="N24" i="1"/>
  <c r="AB27" i="1" s="1"/>
  <c r="V37" i="1"/>
  <c r="Z37" i="1"/>
  <c r="T37" i="1"/>
  <c r="U37" i="1"/>
  <c r="W37" i="1"/>
  <c r="AA37" i="1"/>
  <c r="Y37" i="1"/>
  <c r="R37" i="1"/>
  <c r="X37" i="1"/>
  <c r="S37" i="1"/>
  <c r="L64" i="1" l="1"/>
  <c r="L70" i="1"/>
  <c r="L69" i="1"/>
  <c r="L67" i="1"/>
  <c r="L68" i="1"/>
  <c r="L65" i="1"/>
  <c r="L66" i="1"/>
  <c r="AB32" i="1"/>
  <c r="AB33" i="1"/>
  <c r="AB34" i="1"/>
  <c r="AB28" i="1"/>
  <c r="AB31" i="1"/>
  <c r="AB26" i="1"/>
  <c r="AB29" i="1"/>
  <c r="AB35" i="1"/>
  <c r="AB30" i="1"/>
  <c r="AC35" i="1" l="1"/>
  <c r="AC31" i="1"/>
  <c r="AC30" i="1"/>
  <c r="AC34" i="1"/>
  <c r="AC28" i="1"/>
  <c r="AC33" i="1"/>
  <c r="AC29" i="1"/>
  <c r="AC32" i="1"/>
  <c r="AC27" i="1"/>
  <c r="AC26" i="1"/>
  <c r="L63" i="1" l="1"/>
  <c r="L62" i="1" l="1"/>
  <c r="AF16" i="1"/>
  <c r="AA53" i="1" l="1"/>
  <c r="M53" i="1" s="1"/>
  <c r="M54" i="1" s="1"/>
  <c r="F70" i="1" s="1"/>
  <c r="K16" i="3" s="1"/>
  <c r="X53" i="1"/>
  <c r="J53" i="1" s="1"/>
  <c r="U53" i="1"/>
  <c r="G53" i="1" s="1"/>
  <c r="V53" i="1"/>
  <c r="H53" i="1" s="1"/>
  <c r="F66" i="1" s="1"/>
  <c r="K12" i="3" s="1"/>
  <c r="S53" i="1"/>
  <c r="E53" i="1" s="1"/>
  <c r="F64" i="1" s="1"/>
  <c r="K10" i="3" s="1"/>
  <c r="R53" i="1"/>
  <c r="D53" i="1" s="1"/>
  <c r="Z53" i="1"/>
  <c r="L53" i="1" s="1"/>
  <c r="F69" i="1" s="1"/>
  <c r="K15" i="3" s="1"/>
  <c r="T53" i="1"/>
  <c r="F53" i="1" s="1"/>
  <c r="F65" i="1" s="1"/>
  <c r="K11" i="3" s="1"/>
  <c r="Y53" i="1"/>
  <c r="K53" i="1" s="1"/>
  <c r="K54" i="1" s="1"/>
  <c r="F68" i="1" s="1"/>
  <c r="K14" i="3" s="1"/>
  <c r="W53" i="1"/>
  <c r="I53" i="1" s="1"/>
  <c r="F67" i="1" s="1"/>
  <c r="K13" i="3" s="1"/>
  <c r="AF15" i="1"/>
  <c r="AB45" i="1" l="1"/>
  <c r="N45" i="1" s="1"/>
  <c r="AB51" i="1"/>
  <c r="AB44" i="1"/>
  <c r="N44" i="1" s="1"/>
  <c r="AB46" i="1"/>
  <c r="N46" i="1" s="1"/>
  <c r="AB50" i="1"/>
  <c r="AB43" i="1"/>
  <c r="N43" i="1" s="1"/>
  <c r="F62" i="1" s="1"/>
  <c r="K8" i="3" s="1"/>
  <c r="AB52" i="1"/>
  <c r="AB48" i="1"/>
  <c r="N48" i="1" s="1"/>
  <c r="AB47" i="1"/>
  <c r="N47" i="1" s="1"/>
  <c r="AB49" i="1"/>
  <c r="N49" i="1" s="1"/>
  <c r="F63" i="1" l="1"/>
  <c r="K9" i="3" s="1"/>
</calcChain>
</file>

<file path=xl/sharedStrings.xml><?xml version="1.0" encoding="utf-8"?>
<sst xmlns="http://schemas.openxmlformats.org/spreadsheetml/2006/main" count="267" uniqueCount="100">
  <si>
    <t>total</t>
  </si>
  <si>
    <t>exits</t>
  </si>
  <si>
    <t>entries</t>
  </si>
  <si>
    <t>(km)</t>
  </si>
  <si>
    <t>DISTANCE matrix</t>
  </si>
  <si>
    <t>Revenue split</t>
  </si>
  <si>
    <t>entry</t>
  </si>
  <si>
    <t>exit</t>
  </si>
  <si>
    <t>€/kWh/h</t>
  </si>
  <si>
    <t>€</t>
  </si>
  <si>
    <t>Revenues</t>
  </si>
  <si>
    <t>DE</t>
  </si>
  <si>
    <t>ZBG</t>
  </si>
  <si>
    <t>FR_L</t>
  </si>
  <si>
    <t>NL_L</t>
  </si>
  <si>
    <t>dom H</t>
  </si>
  <si>
    <t>dom L</t>
  </si>
  <si>
    <t xml:space="preserve">Revenues </t>
  </si>
  <si>
    <t>Weight of costs</t>
  </si>
  <si>
    <t>Capacity weighted average distance</t>
  </si>
  <si>
    <t>km</t>
  </si>
  <si>
    <t>kWh/h/y</t>
  </si>
  <si>
    <t>km*kWh/h/y</t>
  </si>
  <si>
    <t>entry %</t>
  </si>
  <si>
    <t>exit %</t>
  </si>
  <si>
    <t>CWDxCAP</t>
  </si>
  <si>
    <t>Tariff L</t>
  </si>
  <si>
    <t>Tariff H</t>
  </si>
  <si>
    <t>FR Alv</t>
  </si>
  <si>
    <t>FR Bla</t>
  </si>
  <si>
    <t>NL ZZ</t>
  </si>
  <si>
    <t>NL SGRA</t>
  </si>
  <si>
    <t xml:space="preserve">NL ZZ </t>
  </si>
  <si>
    <t>ZZ1</t>
  </si>
  <si>
    <t>Eyn</t>
  </si>
  <si>
    <t>Bla L</t>
  </si>
  <si>
    <t>désinflation</t>
  </si>
  <si>
    <t>moy</t>
  </si>
  <si>
    <t>entry H</t>
  </si>
  <si>
    <t>entry L</t>
  </si>
  <si>
    <t>Average tariffs over 4 years</t>
  </si>
  <si>
    <t>-</t>
  </si>
  <si>
    <t>Forecasted contracted capacities (iso H)</t>
  </si>
  <si>
    <t>Entries</t>
  </si>
  <si>
    <t>Exits</t>
  </si>
  <si>
    <t>Approved tariffs</t>
  </si>
  <si>
    <t>Virtualys</t>
  </si>
  <si>
    <t>Zelzate 1</t>
  </si>
  <si>
    <t>Eynatten 1&amp;2</t>
  </si>
  <si>
    <t>Zeebrugge/IZT</t>
  </si>
  <si>
    <t>Blaregnies L</t>
  </si>
  <si>
    <t>Domestic H</t>
  </si>
  <si>
    <t>Domestic L</t>
  </si>
  <si>
    <t>Difference from simplification</t>
  </si>
  <si>
    <t>Exit capacity</t>
  </si>
  <si>
    <t>kWh/h</t>
  </si>
  <si>
    <t>FR - Virtualys</t>
  </si>
  <si>
    <t>NL - BENE</t>
  </si>
  <si>
    <t>NL - L gas</t>
  </si>
  <si>
    <t>Entry capacities</t>
  </si>
  <si>
    <t>OCUC (entry/exit based)</t>
  </si>
  <si>
    <t xml:space="preserve">Transmission Allowed Revenue </t>
  </si>
  <si>
    <t>Loenhout</t>
  </si>
  <si>
    <t>Tariffs from simplified model</t>
  </si>
  <si>
    <t>€/kWh/h/y</t>
  </si>
  <si>
    <t xml:space="preserve"> (average 2020-2023)</t>
  </si>
  <si>
    <t>Default data (average 2020-23)</t>
  </si>
  <si>
    <t>Entry storage</t>
  </si>
  <si>
    <t>Domestic - H gas</t>
  </si>
  <si>
    <t>Domestic - L gas</t>
  </si>
  <si>
    <t>FR - L gas</t>
  </si>
  <si>
    <t>Allowed revenue</t>
  </si>
  <si>
    <t>Transmission Allowed Revenue</t>
  </si>
  <si>
    <t>Entry/Exit split</t>
  </si>
  <si>
    <t>Entry</t>
  </si>
  <si>
    <t>Exit</t>
  </si>
  <si>
    <t>OCUC average tariff</t>
  </si>
  <si>
    <t>Total OCUC capacity</t>
  </si>
  <si>
    <t>Eur</t>
  </si>
  <si>
    <t>OCUC capacity</t>
  </si>
  <si>
    <t>Simulated tariff</t>
  </si>
  <si>
    <t>Default data (2020-23)</t>
  </si>
  <si>
    <t>Enter hereunder the E/E split for simulation</t>
  </si>
  <si>
    <t>1. Input data for simulation:</t>
  </si>
  <si>
    <t xml:space="preserve">Fluxys Belgium non-binding document published for information purpose only. </t>
  </si>
  <si>
    <t>Difference due to simplification of the model</t>
  </si>
  <si>
    <t>Enter hereunder the FCC* for simulation</t>
  </si>
  <si>
    <t>Enter hereunder the transmission allowed revenue for simulation</t>
  </si>
  <si>
    <t>2. Tariff simulation results:</t>
  </si>
  <si>
    <t>Entry H</t>
  </si>
  <si>
    <t>Entry L</t>
  </si>
  <si>
    <t>2020 approved tariffs</t>
  </si>
  <si>
    <t>2020 tariffs from simplified model</t>
  </si>
  <si>
    <t>Enter hereunder the yearly indexation for simulation</t>
  </si>
  <si>
    <t>Yearly indexation</t>
  </si>
  <si>
    <t xml:space="preserve"> * FCC = Forecasted Contracted Capacities on yearly basis</t>
  </si>
  <si>
    <t>OCUC total capacity</t>
  </si>
  <si>
    <t>Simulated tariffs 2020 :</t>
  </si>
  <si>
    <r>
      <rPr>
        <b/>
        <u/>
        <sz val="11"/>
        <color rgb="FFFF0000"/>
        <rFont val="Century Gothic"/>
        <family val="2"/>
      </rPr>
      <t>Disclaimer:</t>
    </r>
    <r>
      <rPr>
        <b/>
        <sz val="11"/>
        <color rgb="FFFF0000"/>
        <rFont val="Century Gothic"/>
        <family val="2"/>
      </rPr>
      <t xml:space="preserve"> 
This document is published for information purposes only and non-bnding upon Fluxys Belgium. 
The simplified model contained in this document allows for simulating order of magnitudes of tariffs depending on input parameters and avoids making explicit the complexity which would be necessary to take into account all the features of the applicable tariff methodology and tariff model.
Fluxys Belgium cannot be held responsible towards third parties for any use they make of this simplified model or of any of the outputs generated by this model.</t>
    </r>
  </si>
  <si>
    <r>
      <rPr>
        <u/>
        <sz val="11"/>
        <color theme="1"/>
        <rFont val="Century Gothic"/>
        <family val="2"/>
      </rPr>
      <t>Purpose:</t>
    </r>
    <r>
      <rPr>
        <sz val="11"/>
        <color theme="1"/>
        <rFont val="Century Gothic"/>
        <family val="2"/>
      </rPr>
      <t xml:space="preserve">
This document is published in accordance with Article 30 (2) (b) of Commission Regulation (EU) 2017/460 of 16 March 2017.
The aim of the simplified model is to enable network users to calculate the transmission tariff for the prevailing tariff period and to estimate their possible evolution beyond such tariff period.
Fluxys Belgium tariff period is from Jan 2020 until Dec 2023. Tariffs were approved on 7 May 2019 by CREG for the 4 years. 2020 tariffs as published on Fluxys Belgium website and listed in this document are subject to yearly indexation over the next years. 
Input data are compiled in the "Input data &amp; Output tariffs" sheet. Cells to filled in are marked in bold red.
Output data are compiled in the same sheet. They are transmission tariffs for year 2020. Tariffs for years 2021, 2022 and 2023 are indexed on a yearly basis based on the consumer price index.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</si>
</sst>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 [$€-80C]"/>
    <numFmt numFmtId="165" formatCode="_-* #,##0_-;\-* #,##0_-;_-* &quot;-&quot;??_-;_-@_-"/>
    <numFmt numFmtId="166" formatCode="#,##0.000\ [$€-80C]"/>
    <numFmt numFmtId="167" formatCode="0.0%"/>
    <numFmt numFmtId="168" formatCode="0.000"/>
    <numFmt numFmtId="169" formatCode="#,##0.0"/>
    <numFmt numFmtId="170" formatCode="#,##0.000"/>
  </numFmts>
  <fonts count="14" x14ac:knownFonts="1">
    <font>
      <sz val="11"/>
      <color theme="1"/>
      <name val="Calibri"/>
      <family val="2"/>
      <scheme val="minor"/>
    </font>
    <font>
      <sz val="11"/>
      <color theme="1"/>
      <name val="Calibri"/>
      <family val="2"/>
      <scheme val="minor"/>
    </font>
    <font>
      <sz val="11"/>
      <color theme="1"/>
      <name val="Century Gothic"/>
      <family val="2"/>
    </font>
    <font>
      <b/>
      <sz val="11"/>
      <color rgb="FFFF0000"/>
      <name val="Century Gothic"/>
      <family val="2"/>
    </font>
    <font>
      <sz val="10"/>
      <color theme="1"/>
      <name val="Century Gothic"/>
      <family val="2"/>
    </font>
    <font>
      <i/>
      <sz val="10"/>
      <color rgb="FFFF0000"/>
      <name val="Century Gothic"/>
      <family val="2"/>
    </font>
    <font>
      <b/>
      <sz val="10"/>
      <color theme="1"/>
      <name val="Century Gothic"/>
      <family val="2"/>
    </font>
    <font>
      <sz val="10"/>
      <name val="Century Gothic"/>
      <family val="2"/>
    </font>
    <font>
      <b/>
      <sz val="10"/>
      <color rgb="FFFF0000"/>
      <name val="Century Gothic"/>
      <family val="2"/>
    </font>
    <font>
      <b/>
      <sz val="10"/>
      <name val="Century Gothic"/>
      <family val="2"/>
    </font>
    <font>
      <b/>
      <u/>
      <sz val="11"/>
      <color rgb="FFFF0000"/>
      <name val="Century Gothic"/>
      <family val="2"/>
    </font>
    <font>
      <b/>
      <sz val="10"/>
      <color theme="9" tint="-0.249977111117893"/>
      <name val="Century Gothic"/>
      <family val="2"/>
    </font>
    <font>
      <sz val="10"/>
      <color theme="0" tint="-0.249977111117893"/>
      <name val="Century Gothic"/>
      <family val="2"/>
    </font>
    <font>
      <u/>
      <sz val="11"/>
      <color theme="1"/>
      <name val="Century Gothic"/>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4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6">
    <xf numFmtId="0" fontId="0" fillId="0" borderId="0" xfId="0"/>
    <xf numFmtId="0" fontId="2" fillId="3" borderId="0" xfId="0" applyFont="1" applyFill="1"/>
    <xf numFmtId="0" fontId="2" fillId="0" borderId="0" xfId="0" applyFont="1"/>
    <xf numFmtId="0" fontId="4" fillId="3" borderId="0" xfId="0" applyFont="1" applyFill="1"/>
    <xf numFmtId="0" fontId="4" fillId="0" borderId="0" xfId="0" applyFont="1"/>
    <xf numFmtId="0" fontId="4" fillId="3" borderId="0" xfId="0" applyFont="1" applyFill="1" applyBorder="1"/>
    <xf numFmtId="0" fontId="7" fillId="0" borderId="15" xfId="0" applyFont="1" applyBorder="1"/>
    <xf numFmtId="0" fontId="11" fillId="0" borderId="0" xfId="0" applyFont="1" applyFill="1" applyBorder="1"/>
    <xf numFmtId="0" fontId="11" fillId="0" borderId="0" xfId="0" quotePrefix="1" applyFont="1" applyFill="1" applyBorder="1"/>
    <xf numFmtId="0" fontId="7" fillId="0" borderId="0" xfId="0" applyFont="1" applyBorder="1" applyAlignment="1">
      <alignment vertical="center"/>
    </xf>
    <xf numFmtId="3" fontId="4" fillId="0" borderId="0" xfId="0" applyNumberFormat="1" applyFont="1"/>
    <xf numFmtId="0" fontId="4" fillId="0" borderId="18" xfId="0" applyFont="1" applyBorder="1"/>
    <xf numFmtId="0" fontId="4" fillId="0" borderId="19" xfId="0" applyFont="1" applyBorder="1"/>
    <xf numFmtId="0" fontId="4" fillId="0" borderId="27" xfId="0" applyFont="1" applyBorder="1"/>
    <xf numFmtId="0" fontId="4" fillId="0" borderId="0" xfId="0" applyFont="1" applyBorder="1"/>
    <xf numFmtId="3" fontId="4" fillId="0" borderId="18" xfId="0" applyNumberFormat="1" applyFont="1" applyBorder="1"/>
    <xf numFmtId="0" fontId="7" fillId="2" borderId="21" xfId="0" applyFont="1" applyFill="1" applyBorder="1"/>
    <xf numFmtId="0" fontId="7" fillId="2" borderId="0" xfId="0" applyFont="1" applyFill="1" applyBorder="1"/>
    <xf numFmtId="0" fontId="7" fillId="2" borderId="11" xfId="0" applyFont="1" applyFill="1" applyBorder="1" applyAlignment="1">
      <alignment horizontal="right"/>
    </xf>
    <xf numFmtId="0" fontId="7" fillId="0" borderId="0" xfId="0" applyFont="1"/>
    <xf numFmtId="0" fontId="4" fillId="2" borderId="21" xfId="0" applyFont="1" applyFill="1" applyBorder="1"/>
    <xf numFmtId="0" fontId="7" fillId="0" borderId="21" xfId="0" applyFont="1" applyBorder="1"/>
    <xf numFmtId="0" fontId="7" fillId="0" borderId="0" xfId="0" applyFont="1" applyBorder="1"/>
    <xf numFmtId="0" fontId="7" fillId="0" borderId="11" xfId="0" applyFont="1" applyBorder="1"/>
    <xf numFmtId="0" fontId="7" fillId="0" borderId="4" xfId="0" applyFont="1" applyBorder="1" applyAlignment="1">
      <alignment horizontal="center"/>
    </xf>
    <xf numFmtId="0" fontId="4" fillId="0" borderId="21" xfId="0" applyFont="1" applyBorder="1"/>
    <xf numFmtId="3" fontId="4" fillId="0" borderId="0" xfId="0" applyNumberFormat="1" applyFont="1" applyBorder="1"/>
    <xf numFmtId="0" fontId="4" fillId="0" borderId="11" xfId="0" applyFont="1" applyBorder="1"/>
    <xf numFmtId="0" fontId="7" fillId="0" borderId="25" xfId="0" applyFont="1" applyBorder="1"/>
    <xf numFmtId="0" fontId="7" fillId="0" borderId="9" xfId="0" applyFont="1" applyBorder="1" applyAlignment="1">
      <alignment horizontal="right"/>
    </xf>
    <xf numFmtId="0" fontId="7" fillId="0" borderId="22" xfId="0" applyFont="1" applyBorder="1" applyAlignment="1">
      <alignment horizontal="right"/>
    </xf>
    <xf numFmtId="0" fontId="7" fillId="0" borderId="10" xfId="0" applyFont="1" applyBorder="1" applyAlignment="1">
      <alignment horizontal="right"/>
    </xf>
    <xf numFmtId="0" fontId="7" fillId="0" borderId="25" xfId="0" applyFont="1" applyBorder="1" applyAlignment="1">
      <alignment horizontal="right"/>
    </xf>
    <xf numFmtId="9" fontId="4" fillId="0" borderId="11" xfId="0" applyNumberFormat="1" applyFont="1" applyBorder="1"/>
    <xf numFmtId="0" fontId="7" fillId="0" borderId="13" xfId="0" applyFont="1" applyBorder="1"/>
    <xf numFmtId="0" fontId="7" fillId="0" borderId="1" xfId="0" applyFont="1" applyBorder="1"/>
    <xf numFmtId="0" fontId="7" fillId="0" borderId="2" xfId="0" applyFont="1" applyBorder="1"/>
    <xf numFmtId="0" fontId="7" fillId="0" borderId="2" xfId="0" applyFont="1" applyFill="1" applyBorder="1"/>
    <xf numFmtId="0" fontId="7" fillId="0" borderId="3" xfId="0" applyFont="1" applyBorder="1"/>
    <xf numFmtId="165" fontId="7" fillId="0" borderId="13" xfId="2" applyNumberFormat="1" applyFont="1" applyBorder="1"/>
    <xf numFmtId="167" fontId="7" fillId="0" borderId="11" xfId="1" quotePrefix="1" applyNumberFormat="1" applyFont="1" applyBorder="1" applyAlignment="1">
      <alignment horizontal="center"/>
    </xf>
    <xf numFmtId="0" fontId="4" fillId="0" borderId="0" xfId="0" quotePrefix="1" applyFont="1" applyBorder="1" applyAlignment="1">
      <alignment horizontal="center"/>
    </xf>
    <xf numFmtId="164" fontId="4" fillId="0" borderId="0" xfId="0" applyNumberFormat="1" applyFont="1" applyBorder="1" applyAlignment="1">
      <alignment vertical="center"/>
    </xf>
    <xf numFmtId="0" fontId="7" fillId="0" borderId="14" xfId="0" applyFont="1" applyBorder="1"/>
    <xf numFmtId="0" fontId="7" fillId="0" borderId="4" xfId="0" applyFont="1" applyBorder="1"/>
    <xf numFmtId="0" fontId="7" fillId="0" borderId="0" xfId="0" applyFont="1" applyFill="1" applyBorder="1"/>
    <xf numFmtId="0" fontId="7" fillId="0" borderId="5" xfId="0" applyFont="1" applyBorder="1"/>
    <xf numFmtId="165" fontId="7" fillId="0" borderId="14" xfId="2" applyNumberFormat="1" applyFont="1" applyBorder="1"/>
    <xf numFmtId="165" fontId="7" fillId="0" borderId="14" xfId="2" applyNumberFormat="1" applyFont="1" applyBorder="1" applyAlignment="1"/>
    <xf numFmtId="0" fontId="4" fillId="0" borderId="0" xfId="0" applyFont="1" applyBorder="1" applyAlignment="1">
      <alignment horizontal="center"/>
    </xf>
    <xf numFmtId="0" fontId="4" fillId="0" borderId="37" xfId="0" applyFont="1" applyBorder="1"/>
    <xf numFmtId="3" fontId="4" fillId="0" borderId="7" xfId="0" applyNumberFormat="1" applyFont="1" applyBorder="1"/>
    <xf numFmtId="0" fontId="4" fillId="0" borderId="38" xfId="0" applyFont="1" applyBorder="1"/>
    <xf numFmtId="0" fontId="7" fillId="0" borderId="14" xfId="0" applyFont="1" applyFill="1" applyBorder="1"/>
    <xf numFmtId="165" fontId="7" fillId="0" borderId="14" xfId="2" applyNumberFormat="1" applyFont="1" applyBorder="1" applyAlignment="1">
      <alignment horizontal="center"/>
    </xf>
    <xf numFmtId="0" fontId="4" fillId="2" borderId="39" xfId="0" applyFont="1" applyFill="1" applyBorder="1"/>
    <xf numFmtId="3" fontId="4" fillId="2" borderId="2" xfId="0" applyNumberFormat="1" applyFont="1" applyFill="1" applyBorder="1"/>
    <xf numFmtId="0" fontId="4" fillId="2" borderId="40" xfId="0" applyFont="1" applyFill="1" applyBorder="1"/>
    <xf numFmtId="0" fontId="4" fillId="0" borderId="24" xfId="0" applyFont="1" applyBorder="1"/>
    <xf numFmtId="0" fontId="7" fillId="0" borderId="26" xfId="0" applyFont="1" applyBorder="1"/>
    <xf numFmtId="0" fontId="7" fillId="0" borderId="6" xfId="0" applyFont="1" applyBorder="1"/>
    <xf numFmtId="0" fontId="7" fillId="0" borderId="7" xfId="0" applyFont="1" applyBorder="1"/>
    <xf numFmtId="0" fontId="7" fillId="0" borderId="8" xfId="0" applyFont="1" applyBorder="1"/>
    <xf numFmtId="3" fontId="4" fillId="0" borderId="19" xfId="0" applyNumberFormat="1" applyFont="1" applyBorder="1" applyAlignment="1">
      <alignment vertical="top"/>
    </xf>
    <xf numFmtId="0" fontId="7" fillId="0" borderId="21" xfId="0" applyFont="1" applyBorder="1" applyAlignment="1">
      <alignment horizontal="center" vertical="center"/>
    </xf>
    <xf numFmtId="0" fontId="7" fillId="0" borderId="9" xfId="0" applyFont="1" applyBorder="1"/>
    <xf numFmtId="0" fontId="7" fillId="0" borderId="22" xfId="0" applyFont="1" applyBorder="1"/>
    <xf numFmtId="165" fontId="4" fillId="0" borderId="25" xfId="2" applyNumberFormat="1" applyFont="1" applyBorder="1"/>
    <xf numFmtId="3" fontId="4" fillId="0" borderId="0" xfId="0" applyNumberFormat="1" applyFont="1" applyBorder="1" applyAlignment="1">
      <alignment vertical="top"/>
    </xf>
    <xf numFmtId="0" fontId="7" fillId="0" borderId="24" xfId="0" applyFont="1" applyBorder="1"/>
    <xf numFmtId="0" fontId="7" fillId="0" borderId="16" xfId="0" applyFont="1" applyBorder="1"/>
    <xf numFmtId="0" fontId="7" fillId="0" borderId="30" xfId="0" applyFont="1" applyBorder="1"/>
    <xf numFmtId="165" fontId="7" fillId="0" borderId="44" xfId="2" applyNumberFormat="1" applyFont="1" applyBorder="1"/>
    <xf numFmtId="165" fontId="7" fillId="0" borderId="15" xfId="2" applyNumberFormat="1" applyFont="1" applyBorder="1"/>
    <xf numFmtId="165" fontId="7" fillId="0" borderId="45" xfId="2" applyNumberFormat="1" applyFont="1" applyBorder="1"/>
    <xf numFmtId="165" fontId="7" fillId="0" borderId="15" xfId="2" applyNumberFormat="1" applyFont="1" applyFill="1" applyBorder="1"/>
    <xf numFmtId="3" fontId="4" fillId="0" borderId="0" xfId="0" applyNumberFormat="1" applyFont="1" applyAlignment="1">
      <alignment vertical="top"/>
    </xf>
    <xf numFmtId="167" fontId="7" fillId="0" borderId="0" xfId="1" applyNumberFormat="1" applyFont="1"/>
    <xf numFmtId="170" fontId="4" fillId="0" borderId="0" xfId="0" applyNumberFormat="1" applyFont="1" applyAlignment="1">
      <alignment vertical="top"/>
    </xf>
    <xf numFmtId="0" fontId="7" fillId="0" borderId="18" xfId="0" applyFont="1" applyBorder="1"/>
    <xf numFmtId="0" fontId="7" fillId="0" borderId="19" xfId="0" applyFont="1" applyBorder="1"/>
    <xf numFmtId="0" fontId="7" fillId="0" borderId="27" xfId="0" applyFont="1" applyBorder="1"/>
    <xf numFmtId="165" fontId="7" fillId="0" borderId="11" xfId="0" applyNumberFormat="1" applyFont="1" applyBorder="1" applyAlignment="1">
      <alignment horizontal="right"/>
    </xf>
    <xf numFmtId="0" fontId="7" fillId="0" borderId="0" xfId="0" applyFont="1" applyBorder="1" applyAlignment="1">
      <alignment horizontal="right"/>
    </xf>
    <xf numFmtId="0" fontId="7" fillId="0" borderId="33" xfId="0" applyFont="1" applyBorder="1" applyAlignment="1">
      <alignment horizontal="right"/>
    </xf>
    <xf numFmtId="165" fontId="7" fillId="0" borderId="34" xfId="0" applyNumberFormat="1" applyFont="1" applyBorder="1"/>
    <xf numFmtId="9" fontId="7" fillId="0" borderId="40" xfId="1" applyFont="1" applyBorder="1"/>
    <xf numFmtId="9" fontId="4" fillId="0" borderId="0" xfId="1" applyFont="1"/>
    <xf numFmtId="165" fontId="7" fillId="0" borderId="35" xfId="0" applyNumberFormat="1" applyFont="1" applyBorder="1"/>
    <xf numFmtId="9" fontId="7" fillId="0" borderId="11" xfId="1" applyFont="1" applyBorder="1"/>
    <xf numFmtId="165" fontId="7" fillId="0" borderId="20" xfId="0" applyNumberFormat="1" applyFont="1" applyBorder="1"/>
    <xf numFmtId="165" fontId="7" fillId="0" borderId="26" xfId="2" applyNumberFormat="1" applyFont="1" applyBorder="1"/>
    <xf numFmtId="9" fontId="7" fillId="0" borderId="38" xfId="1" applyFont="1" applyBorder="1"/>
    <xf numFmtId="165" fontId="7" fillId="0" borderId="9" xfId="0" applyNumberFormat="1" applyFont="1" applyBorder="1"/>
    <xf numFmtId="165" fontId="7" fillId="0" borderId="22" xfId="0" applyNumberFormat="1" applyFont="1" applyBorder="1"/>
    <xf numFmtId="165" fontId="7" fillId="0" borderId="10" xfId="0" applyNumberFormat="1" applyFont="1" applyBorder="1"/>
    <xf numFmtId="3" fontId="7" fillId="0" borderId="9" xfId="0" applyNumberFormat="1" applyFont="1" applyBorder="1"/>
    <xf numFmtId="3" fontId="7" fillId="0" borderId="22" xfId="0" applyNumberFormat="1" applyFont="1" applyBorder="1"/>
    <xf numFmtId="3" fontId="7" fillId="0" borderId="10" xfId="0" applyNumberFormat="1" applyFont="1" applyBorder="1"/>
    <xf numFmtId="9" fontId="7" fillId="0" borderId="31" xfId="1" applyFont="1" applyBorder="1"/>
    <xf numFmtId="9" fontId="7" fillId="0" borderId="23" xfId="1" applyFont="1" applyBorder="1"/>
    <xf numFmtId="9" fontId="7" fillId="0" borderId="32" xfId="1" applyFont="1" applyBorder="1"/>
    <xf numFmtId="3" fontId="7" fillId="0" borderId="15" xfId="0" applyNumberFormat="1" applyFont="1" applyBorder="1"/>
    <xf numFmtId="0" fontId="7" fillId="0" borderId="0" xfId="0" applyFont="1" applyFill="1" applyBorder="1" applyAlignment="1"/>
    <xf numFmtId="0" fontId="11" fillId="0" borderId="0" xfId="0" applyFont="1" applyFill="1" applyBorder="1" applyAlignment="1">
      <alignment horizontal="center" vertical="center"/>
    </xf>
    <xf numFmtId="0" fontId="11" fillId="0" borderId="0" xfId="0" quotePrefix="1" applyFont="1" applyFill="1" applyBorder="1" applyAlignment="1">
      <alignment horizontal="center" vertical="center"/>
    </xf>
    <xf numFmtId="3" fontId="4"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0" fontId="7" fillId="0" borderId="11" xfId="0" applyFont="1" applyBorder="1" applyAlignment="1">
      <alignment horizontal="right"/>
    </xf>
    <xf numFmtId="0" fontId="7" fillId="0" borderId="34" xfId="0" applyFont="1" applyBorder="1" applyAlignment="1">
      <alignment horizontal="right"/>
    </xf>
    <xf numFmtId="0" fontId="4" fillId="0" borderId="0" xfId="0" applyFont="1" applyFill="1" applyBorder="1"/>
    <xf numFmtId="166" fontId="7" fillId="0" borderId="34" xfId="0" applyNumberFormat="1" applyFont="1" applyBorder="1"/>
    <xf numFmtId="164" fontId="7" fillId="0" borderId="14" xfId="0" applyNumberFormat="1" applyFont="1" applyBorder="1"/>
    <xf numFmtId="166" fontId="7" fillId="0" borderId="35" xfId="0" applyNumberFormat="1" applyFont="1" applyBorder="1"/>
    <xf numFmtId="164" fontId="7" fillId="0" borderId="0" xfId="0" applyNumberFormat="1" applyFont="1" applyBorder="1"/>
    <xf numFmtId="0" fontId="7" fillId="0" borderId="4" xfId="0" applyFont="1" applyFill="1" applyBorder="1"/>
    <xf numFmtId="165" fontId="7" fillId="0" borderId="35" xfId="0" applyNumberFormat="1" applyFont="1" applyBorder="1" applyAlignment="1">
      <alignment horizontal="center"/>
    </xf>
    <xf numFmtId="164" fontId="7" fillId="0" borderId="26" xfId="0" applyNumberFormat="1" applyFont="1" applyBorder="1"/>
    <xf numFmtId="166" fontId="7" fillId="0" borderId="9" xfId="0" applyNumberFormat="1" applyFont="1" applyBorder="1"/>
    <xf numFmtId="166" fontId="7" fillId="0" borderId="22" xfId="0" applyNumberFormat="1" applyFont="1" applyBorder="1"/>
    <xf numFmtId="166" fontId="12" fillId="0" borderId="22" xfId="0" applyNumberFormat="1" applyFont="1" applyBorder="1"/>
    <xf numFmtId="166" fontId="12" fillId="0" borderId="10" xfId="0" applyNumberFormat="1" applyFont="1" applyBorder="1"/>
    <xf numFmtId="164" fontId="7" fillId="0" borderId="22" xfId="0" applyNumberFormat="1" applyFont="1" applyBorder="1"/>
    <xf numFmtId="164" fontId="7" fillId="0" borderId="10" xfId="0" applyNumberFormat="1" applyFont="1" applyBorder="1"/>
    <xf numFmtId="0" fontId="4" fillId="0" borderId="0" xfId="0" quotePrefix="1" applyFont="1" applyFill="1" applyBorder="1"/>
    <xf numFmtId="166" fontId="7" fillId="0" borderId="23" xfId="0" applyNumberFormat="1" applyFont="1" applyBorder="1"/>
    <xf numFmtId="0" fontId="7" fillId="0" borderId="23" xfId="0" applyFont="1" applyBorder="1"/>
    <xf numFmtId="166" fontId="7" fillId="0" borderId="32" xfId="0" applyNumberFormat="1" applyFont="1" applyBorder="1"/>
    <xf numFmtId="0" fontId="7" fillId="0" borderId="15" xfId="0" quotePrefix="1" applyFont="1" applyBorder="1" applyAlignment="1"/>
    <xf numFmtId="0" fontId="7" fillId="0" borderId="15" xfId="0" applyFont="1" applyBorder="1" applyAlignment="1"/>
    <xf numFmtId="0" fontId="7" fillId="0" borderId="15" xfId="0" applyFont="1" applyBorder="1" applyAlignment="1">
      <alignment horizontal="center"/>
    </xf>
    <xf numFmtId="0" fontId="6" fillId="3" borderId="0" xfId="0" applyFont="1" applyFill="1" applyBorder="1"/>
    <xf numFmtId="166" fontId="7" fillId="3" borderId="0" xfId="0" applyNumberFormat="1" applyFont="1" applyFill="1"/>
    <xf numFmtId="166" fontId="7" fillId="3" borderId="0" xfId="0" applyNumberFormat="1" applyFont="1" applyFill="1" applyBorder="1"/>
    <xf numFmtId="166" fontId="7" fillId="0" borderId="0" xfId="0" applyNumberFormat="1" applyFont="1" applyBorder="1"/>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wrapText="1"/>
    </xf>
    <xf numFmtId="168" fontId="4" fillId="0" borderId="0" xfId="0" applyNumberFormat="1" applyFont="1"/>
    <xf numFmtId="166" fontId="4" fillId="0" borderId="0" xfId="0" applyNumberFormat="1" applyFont="1"/>
    <xf numFmtId="166" fontId="7" fillId="0" borderId="1" xfId="0" applyNumberFormat="1" applyFont="1" applyBorder="1" applyAlignment="1"/>
    <xf numFmtId="166" fontId="7" fillId="0" borderId="3" xfId="0" applyNumberFormat="1" applyFont="1" applyBorder="1" applyAlignment="1"/>
    <xf numFmtId="169" fontId="4" fillId="0" borderId="0" xfId="0" applyNumberFormat="1" applyFont="1" applyBorder="1" applyAlignment="1">
      <alignment horizontal="center"/>
    </xf>
    <xf numFmtId="167" fontId="4" fillId="0" borderId="0" xfId="0" applyNumberFormat="1" applyFont="1" applyBorder="1" applyAlignment="1">
      <alignment horizontal="center"/>
    </xf>
    <xf numFmtId="166" fontId="7" fillId="0" borderId="6" xfId="0" applyNumberFormat="1" applyFont="1" applyBorder="1" applyAlignment="1"/>
    <xf numFmtId="166" fontId="7" fillId="0" borderId="8" xfId="0" applyNumberFormat="1" applyFont="1" applyBorder="1" applyAlignment="1"/>
    <xf numFmtId="166" fontId="7" fillId="0" borderId="4" xfId="0" applyNumberFormat="1" applyFont="1" applyBorder="1" applyAlignment="1"/>
    <xf numFmtId="166" fontId="7" fillId="0" borderId="5" xfId="0" applyNumberFormat="1" applyFont="1" applyBorder="1" applyAlignment="1"/>
    <xf numFmtId="3" fontId="4" fillId="0" borderId="0" xfId="1" applyNumberFormat="1" applyFont="1" applyBorder="1" applyAlignment="1">
      <alignment horizontal="center"/>
    </xf>
    <xf numFmtId="9" fontId="4" fillId="0" borderId="0" xfId="1" applyFont="1" applyBorder="1" applyAlignment="1">
      <alignment horizontal="center"/>
    </xf>
    <xf numFmtId="169" fontId="4" fillId="0" borderId="0" xfId="1" applyNumberFormat="1" applyFont="1" applyBorder="1" applyAlignment="1">
      <alignment horizontal="center"/>
    </xf>
    <xf numFmtId="0" fontId="7" fillId="0" borderId="0" xfId="2" applyNumberFormat="1" applyFont="1" applyBorder="1"/>
    <xf numFmtId="10" fontId="7" fillId="0" borderId="0" xfId="1" applyNumberFormat="1" applyFont="1"/>
    <xf numFmtId="0" fontId="3" fillId="0" borderId="41" xfId="0" applyFont="1" applyBorder="1" applyAlignment="1">
      <alignment horizontal="left" vertical="top" wrapText="1"/>
    </xf>
    <xf numFmtId="0" fontId="3" fillId="0" borderId="42" xfId="0" applyFont="1" applyBorder="1" applyAlignment="1">
      <alignment horizontal="left" vertical="top"/>
    </xf>
    <xf numFmtId="0" fontId="3" fillId="0" borderId="43" xfId="0" applyFont="1" applyBorder="1" applyAlignment="1">
      <alignment horizontal="left" vertical="top"/>
    </xf>
    <xf numFmtId="0" fontId="2" fillId="3" borderId="18"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5" fillId="0" borderId="0" xfId="0" applyFont="1" applyAlignment="1">
      <alignment horizontal="left"/>
    </xf>
    <xf numFmtId="164" fontId="4" fillId="0" borderId="0" xfId="0" applyNumberFormat="1" applyFont="1" applyBorder="1" applyAlignment="1">
      <alignment horizontal="right" vertical="center"/>
    </xf>
    <xf numFmtId="164" fontId="4" fillId="0" borderId="11" xfId="0" applyNumberFormat="1" applyFont="1" applyBorder="1" applyAlignment="1">
      <alignment horizontal="right" vertical="center"/>
    </xf>
    <xf numFmtId="167" fontId="7" fillId="0" borderId="4" xfId="1" applyNumberFormat="1" applyFont="1" applyBorder="1" applyAlignment="1">
      <alignment horizontal="center"/>
    </xf>
    <xf numFmtId="167" fontId="7" fillId="0" borderId="5" xfId="1" applyNumberFormat="1" applyFont="1" applyBorder="1" applyAlignment="1">
      <alignment horizontal="center"/>
    </xf>
    <xf numFmtId="167" fontId="7" fillId="0" borderId="6" xfId="1" applyNumberFormat="1" applyFont="1" applyBorder="1" applyAlignment="1">
      <alignment horizontal="center"/>
    </xf>
    <xf numFmtId="167" fontId="7" fillId="0" borderId="8" xfId="1" applyNumberFormat="1" applyFont="1" applyBorder="1" applyAlignment="1">
      <alignment horizontal="center"/>
    </xf>
    <xf numFmtId="166"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166" fontId="7" fillId="2" borderId="4" xfId="0" applyNumberFormat="1" applyFont="1" applyFill="1" applyBorder="1" applyAlignment="1">
      <alignment horizontal="center" vertical="center" wrapText="1"/>
    </xf>
    <xf numFmtId="166" fontId="7" fillId="2" borderId="5" xfId="0" applyNumberFormat="1" applyFont="1" applyFill="1" applyBorder="1" applyAlignment="1">
      <alignment horizontal="center" vertical="center" wrapText="1"/>
    </xf>
    <xf numFmtId="166" fontId="7" fillId="2" borderId="6" xfId="0" applyNumberFormat="1" applyFont="1" applyFill="1" applyBorder="1" applyAlignment="1">
      <alignment horizontal="center" vertical="center" wrapText="1"/>
    </xf>
    <xf numFmtId="166" fontId="7" fillId="2" borderId="8" xfId="0" applyNumberFormat="1" applyFont="1" applyFill="1" applyBorder="1" applyAlignment="1">
      <alignment horizontal="center" vertical="center" wrapText="1"/>
    </xf>
    <xf numFmtId="166" fontId="7" fillId="0" borderId="1" xfId="0" applyNumberFormat="1" applyFont="1" applyBorder="1" applyAlignment="1">
      <alignment horizontal="center"/>
    </xf>
    <xf numFmtId="166" fontId="7" fillId="0" borderId="3" xfId="0" applyNumberFormat="1" applyFont="1" applyBorder="1" applyAlignment="1">
      <alignment horizontal="center"/>
    </xf>
    <xf numFmtId="166" fontId="7" fillId="0" borderId="6" xfId="0" applyNumberFormat="1" applyFont="1" applyBorder="1" applyAlignment="1">
      <alignment horizontal="center"/>
    </xf>
    <xf numFmtId="166" fontId="7" fillId="0" borderId="8" xfId="0" applyNumberFormat="1" applyFont="1" applyBorder="1" applyAlignment="1">
      <alignment horizontal="center"/>
    </xf>
    <xf numFmtId="166" fontId="7" fillId="0" borderId="4" xfId="0" applyNumberFormat="1" applyFont="1" applyBorder="1" applyAlignment="1">
      <alignment horizontal="center"/>
    </xf>
    <xf numFmtId="166" fontId="7" fillId="0" borderId="5" xfId="0" applyNumberFormat="1" applyFont="1" applyBorder="1" applyAlignment="1">
      <alignment horizontal="center"/>
    </xf>
    <xf numFmtId="166" fontId="7" fillId="2" borderId="25" xfId="0" applyNumberFormat="1" applyFont="1" applyFill="1" applyBorder="1" applyAlignment="1">
      <alignment horizontal="center" vertical="center"/>
    </xf>
    <xf numFmtId="0" fontId="7" fillId="0" borderId="9" xfId="0" applyFont="1" applyBorder="1" applyAlignment="1">
      <alignment horizontal="center"/>
    </xf>
    <xf numFmtId="0" fontId="7" fillId="0" borderId="22"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166" fontId="7" fillId="0" borderId="4" xfId="0" applyNumberFormat="1" applyFont="1" applyBorder="1" applyAlignment="1">
      <alignment horizontal="left"/>
    </xf>
    <xf numFmtId="166" fontId="7" fillId="0" borderId="5" xfId="0" applyNumberFormat="1" applyFont="1" applyBorder="1" applyAlignment="1">
      <alignment horizontal="left"/>
    </xf>
    <xf numFmtId="166" fontId="7" fillId="0" borderId="6" xfId="0" applyNumberFormat="1" applyFont="1" applyBorder="1" applyAlignment="1">
      <alignment horizontal="left"/>
    </xf>
    <xf numFmtId="166" fontId="7" fillId="0" borderId="8" xfId="0" applyNumberFormat="1" applyFont="1" applyBorder="1" applyAlignment="1">
      <alignment horizontal="left"/>
    </xf>
    <xf numFmtId="166" fontId="7" fillId="0" borderId="1" xfId="0" applyNumberFormat="1" applyFont="1" applyBorder="1" applyAlignment="1">
      <alignment horizontal="left"/>
    </xf>
    <xf numFmtId="166" fontId="7" fillId="0" borderId="3" xfId="0" applyNumberFormat="1" applyFont="1" applyBorder="1" applyAlignment="1">
      <alignment horizontal="left"/>
    </xf>
    <xf numFmtId="0" fontId="11" fillId="0" borderId="0" xfId="0" applyFont="1" applyFill="1" applyBorder="1" applyAlignment="1">
      <alignment horizontal="center" vertical="center" wrapText="1"/>
    </xf>
    <xf numFmtId="164" fontId="4" fillId="2" borderId="0" xfId="0" applyNumberFormat="1" applyFont="1" applyFill="1" applyBorder="1" applyAlignment="1">
      <alignment horizontal="center" vertical="center"/>
    </xf>
    <xf numFmtId="164" fontId="4" fillId="2" borderId="11" xfId="0" applyNumberFormat="1" applyFont="1" applyFill="1" applyBorder="1" applyAlignment="1">
      <alignment horizontal="center" vertical="center"/>
    </xf>
    <xf numFmtId="0" fontId="7" fillId="0" borderId="36" xfId="0" applyFont="1" applyBorder="1" applyAlignment="1">
      <alignment horizontal="center"/>
    </xf>
    <xf numFmtId="0" fontId="7" fillId="0" borderId="12"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67" fontId="7" fillId="0" borderId="1" xfId="1" applyNumberFormat="1" applyFont="1" applyBorder="1" applyAlignment="1">
      <alignment horizontal="center"/>
    </xf>
    <xf numFmtId="167" fontId="7" fillId="0" borderId="3" xfId="1" applyNumberFormat="1" applyFont="1" applyBorder="1" applyAlignment="1">
      <alignment horizontal="center"/>
    </xf>
    <xf numFmtId="165" fontId="8" fillId="3" borderId="2" xfId="2" applyNumberFormat="1" applyFont="1" applyFill="1" applyBorder="1" applyProtection="1">
      <protection locked="0"/>
    </xf>
    <xf numFmtId="166" fontId="7" fillId="6" borderId="21" xfId="0" applyNumberFormat="1" applyFont="1" applyFill="1" applyBorder="1" applyAlignment="1" applyProtection="1">
      <alignment horizontal="center" vertical="center"/>
      <protection locked="0"/>
    </xf>
    <xf numFmtId="165" fontId="8" fillId="3" borderId="0" xfId="2" applyNumberFormat="1" applyFont="1" applyFill="1" applyBorder="1" applyProtection="1">
      <protection locked="0"/>
    </xf>
    <xf numFmtId="166" fontId="7" fillId="6" borderId="24" xfId="0" applyNumberFormat="1" applyFont="1" applyFill="1" applyBorder="1" applyAlignment="1" applyProtection="1">
      <alignment horizontal="center" vertical="center"/>
      <protection locked="0"/>
    </xf>
    <xf numFmtId="166" fontId="7" fillId="6" borderId="18" xfId="0" applyNumberFormat="1" applyFont="1" applyFill="1" applyBorder="1" applyAlignment="1" applyProtection="1">
      <alignment horizontal="center" vertical="center"/>
      <protection locked="0"/>
    </xf>
    <xf numFmtId="165" fontId="8" fillId="3" borderId="7" xfId="2" applyNumberFormat="1" applyFont="1" applyFill="1" applyBorder="1" applyProtection="1">
      <protection locked="0"/>
    </xf>
    <xf numFmtId="0" fontId="4" fillId="4" borderId="13" xfId="0" applyFont="1" applyFill="1" applyBorder="1" applyAlignment="1" applyProtection="1">
      <alignment horizontal="center" wrapText="1"/>
      <protection locked="0"/>
    </xf>
    <xf numFmtId="0" fontId="4" fillId="3" borderId="3" xfId="0" applyFont="1" applyFill="1" applyBorder="1" applyAlignment="1" applyProtection="1">
      <alignment horizontal="center" vertical="top" wrapText="1"/>
      <protection locked="0"/>
    </xf>
    <xf numFmtId="0" fontId="4" fillId="4" borderId="14" xfId="0" applyFont="1" applyFill="1" applyBorder="1" applyAlignment="1" applyProtection="1">
      <alignment horizontal="center" wrapText="1"/>
      <protection locked="0"/>
    </xf>
    <xf numFmtId="0" fontId="4" fillId="3" borderId="5" xfId="0" applyFont="1" applyFill="1" applyBorder="1" applyAlignment="1" applyProtection="1">
      <alignment horizontal="center" vertical="top" wrapText="1"/>
      <protection locked="0"/>
    </xf>
    <xf numFmtId="0" fontId="4" fillId="4" borderId="26" xfId="0" applyFont="1" applyFill="1" applyBorder="1" applyAlignment="1" applyProtection="1">
      <alignment horizontal="center" wrapText="1"/>
      <protection locked="0"/>
    </xf>
    <xf numFmtId="165" fontId="8" fillId="3" borderId="3" xfId="2" applyNumberFormat="1" applyFont="1" applyFill="1" applyBorder="1" applyProtection="1">
      <protection locked="0"/>
    </xf>
    <xf numFmtId="165" fontId="8" fillId="3" borderId="5" xfId="2" applyNumberFormat="1" applyFont="1" applyFill="1" applyBorder="1" applyProtection="1">
      <protection locked="0"/>
    </xf>
    <xf numFmtId="165" fontId="8" fillId="3" borderId="8" xfId="2" applyNumberFormat="1" applyFont="1" applyFill="1" applyBorder="1" applyProtection="1">
      <protection locked="0"/>
    </xf>
    <xf numFmtId="165" fontId="8" fillId="3" borderId="25" xfId="2" applyNumberFormat="1" applyFont="1" applyFill="1" applyBorder="1" applyProtection="1">
      <protection locked="0"/>
    </xf>
    <xf numFmtId="165" fontId="8" fillId="3" borderId="26" xfId="2" applyNumberFormat="1" applyFont="1" applyFill="1" applyBorder="1" applyProtection="1">
      <protection locked="0"/>
    </xf>
    <xf numFmtId="9" fontId="8" fillId="3" borderId="13" xfId="0" applyNumberFormat="1" applyFont="1" applyFill="1" applyBorder="1" applyProtection="1">
      <protection locked="0"/>
    </xf>
    <xf numFmtId="10" fontId="8" fillId="3" borderId="3" xfId="1" applyNumberFormat="1" applyFont="1" applyFill="1" applyBorder="1" applyProtection="1">
      <protection locked="0"/>
    </xf>
    <xf numFmtId="10" fontId="8" fillId="3" borderId="5" xfId="1" applyNumberFormat="1" applyFont="1" applyFill="1" applyBorder="1" applyProtection="1">
      <protection locked="0"/>
    </xf>
    <xf numFmtId="10" fontId="8" fillId="3" borderId="8" xfId="1" applyNumberFormat="1" applyFont="1" applyFill="1" applyBorder="1" applyProtection="1">
      <protection locked="0"/>
    </xf>
    <xf numFmtId="0" fontId="4" fillId="3" borderId="0" xfId="0" applyFont="1" applyFill="1" applyProtection="1"/>
    <xf numFmtId="0" fontId="4" fillId="5" borderId="9" xfId="0" applyFont="1" applyFill="1" applyBorder="1" applyProtection="1"/>
    <xf numFmtId="0" fontId="4" fillId="5" borderId="22" xfId="0" applyFont="1" applyFill="1" applyBorder="1" applyProtection="1"/>
    <xf numFmtId="0" fontId="4" fillId="5" borderId="10" xfId="0" applyFont="1" applyFill="1" applyBorder="1" applyProtection="1"/>
    <xf numFmtId="165" fontId="4" fillId="3" borderId="13" xfId="2" applyNumberFormat="1" applyFont="1" applyFill="1" applyBorder="1" applyProtection="1"/>
    <xf numFmtId="165" fontId="4" fillId="3" borderId="14" xfId="2" applyNumberFormat="1" applyFont="1" applyFill="1" applyBorder="1" applyProtection="1"/>
    <xf numFmtId="165" fontId="4" fillId="3" borderId="26" xfId="2" applyNumberFormat="1" applyFont="1" applyFill="1" applyBorder="1" applyProtection="1"/>
    <xf numFmtId="0" fontId="7" fillId="3" borderId="1" xfId="0" applyFont="1" applyFill="1" applyBorder="1" applyProtection="1"/>
    <xf numFmtId="0" fontId="7" fillId="3" borderId="13" xfId="0" applyFont="1" applyFill="1" applyBorder="1" applyProtection="1"/>
    <xf numFmtId="0" fontId="7" fillId="3" borderId="4" xfId="0" applyFont="1" applyFill="1" applyBorder="1" applyProtection="1"/>
    <xf numFmtId="0" fontId="7" fillId="3" borderId="14" xfId="0" applyFont="1" applyFill="1" applyBorder="1" applyProtection="1"/>
    <xf numFmtId="0" fontId="7" fillId="3" borderId="6" xfId="0" applyFont="1" applyFill="1" applyBorder="1" applyProtection="1"/>
    <xf numFmtId="0" fontId="7" fillId="3" borderId="26" xfId="0" applyFont="1" applyFill="1" applyBorder="1" applyProtection="1"/>
    <xf numFmtId="0" fontId="5" fillId="3" borderId="0" xfId="0" applyFont="1" applyFill="1" applyAlignment="1" applyProtection="1">
      <alignment horizontal="left"/>
    </xf>
    <xf numFmtId="0" fontId="6" fillId="3" borderId="0" xfId="0" applyFont="1" applyFill="1" applyProtection="1"/>
    <xf numFmtId="0" fontId="4" fillId="0" borderId="0" xfId="0" applyFont="1" applyProtection="1"/>
    <xf numFmtId="0" fontId="4" fillId="3" borderId="9"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0" fontId="4" fillId="4" borderId="26" xfId="0" applyFont="1" applyFill="1" applyBorder="1" applyAlignment="1" applyProtection="1">
      <alignment horizontal="center" vertical="center" wrapText="1"/>
    </xf>
    <xf numFmtId="0" fontId="4" fillId="3" borderId="26" xfId="0" applyFont="1" applyFill="1" applyBorder="1" applyAlignment="1" applyProtection="1">
      <alignment horizontal="center" vertical="top" wrapText="1"/>
    </xf>
    <xf numFmtId="0" fontId="4" fillId="3" borderId="6" xfId="0" applyFont="1" applyFill="1" applyBorder="1" applyProtection="1"/>
    <xf numFmtId="0" fontId="4" fillId="3" borderId="7" xfId="0" applyFont="1" applyFill="1" applyBorder="1" applyProtection="1"/>
    <xf numFmtId="9" fontId="9" fillId="3" borderId="26" xfId="0" applyNumberFormat="1" applyFont="1" applyFill="1" applyBorder="1" applyProtection="1"/>
    <xf numFmtId="9" fontId="4" fillId="3" borderId="8" xfId="0" applyNumberFormat="1" applyFont="1" applyFill="1" applyBorder="1" applyProtection="1"/>
    <xf numFmtId="9" fontId="4" fillId="3" borderId="3" xfId="0" applyNumberFormat="1" applyFont="1" applyFill="1" applyBorder="1" applyProtection="1"/>
    <xf numFmtId="0" fontId="4" fillId="3" borderId="1" xfId="0" applyFont="1" applyFill="1" applyBorder="1" applyProtection="1"/>
    <xf numFmtId="0" fontId="4" fillId="3" borderId="2" xfId="0" applyFont="1" applyFill="1" applyBorder="1" applyProtection="1"/>
    <xf numFmtId="0" fontId="4" fillId="3" borderId="9" xfId="0" applyFont="1" applyFill="1" applyBorder="1" applyProtection="1"/>
    <xf numFmtId="0" fontId="4" fillId="3" borderId="22" xfId="0" applyFont="1" applyFill="1" applyBorder="1" applyProtection="1"/>
    <xf numFmtId="0" fontId="4" fillId="4" borderId="25" xfId="0" applyFont="1" applyFill="1" applyBorder="1" applyAlignment="1" applyProtection="1">
      <alignment horizontal="center" wrapText="1"/>
    </xf>
    <xf numFmtId="0" fontId="4" fillId="3" borderId="25" xfId="0" applyFont="1" applyFill="1" applyBorder="1" applyAlignment="1" applyProtection="1">
      <alignment horizontal="center" vertical="top" wrapText="1"/>
    </xf>
    <xf numFmtId="165" fontId="4" fillId="3" borderId="25" xfId="2" applyNumberFormat="1" applyFont="1" applyFill="1" applyBorder="1" applyProtection="1"/>
    <xf numFmtId="0" fontId="4" fillId="3" borderId="9" xfId="0" applyFont="1" applyFill="1" applyBorder="1" applyAlignment="1" applyProtection="1"/>
    <xf numFmtId="0" fontId="4" fillId="3" borderId="10" xfId="0" applyFont="1" applyFill="1" applyBorder="1" applyProtection="1"/>
    <xf numFmtId="0" fontId="4" fillId="4" borderId="14" xfId="0" applyFont="1" applyFill="1" applyBorder="1" applyAlignment="1" applyProtection="1">
      <alignment horizontal="center" wrapText="1"/>
    </xf>
    <xf numFmtId="0" fontId="4" fillId="3" borderId="14" xfId="0" applyFont="1" applyFill="1" applyBorder="1" applyAlignment="1" applyProtection="1">
      <alignment horizontal="center" vertical="top" wrapText="1"/>
    </xf>
    <xf numFmtId="0" fontId="7" fillId="3" borderId="0" xfId="0" applyFont="1" applyFill="1" applyBorder="1" applyProtection="1"/>
    <xf numFmtId="165" fontId="8" fillId="3" borderId="0" xfId="2" applyNumberFormat="1" applyFont="1" applyFill="1" applyBorder="1" applyProtection="1"/>
    <xf numFmtId="165" fontId="4" fillId="3" borderId="0" xfId="2" applyNumberFormat="1" applyFont="1" applyFill="1" applyBorder="1" applyProtection="1"/>
    <xf numFmtId="10" fontId="4" fillId="3" borderId="13" xfId="0" applyNumberFormat="1" applyFont="1" applyFill="1" applyBorder="1" applyProtection="1"/>
    <xf numFmtId="10" fontId="4" fillId="3" borderId="14" xfId="0" applyNumberFormat="1" applyFont="1" applyFill="1" applyBorder="1" applyProtection="1"/>
    <xf numFmtId="10" fontId="4" fillId="3" borderId="26" xfId="0" applyNumberFormat="1" applyFont="1" applyFill="1" applyBorder="1" applyProtection="1"/>
    <xf numFmtId="0" fontId="7" fillId="3" borderId="1" xfId="0" applyFont="1" applyFill="1" applyBorder="1" applyAlignment="1" applyProtection="1">
      <alignment horizontal="left" indent="2"/>
    </xf>
    <xf numFmtId="0" fontId="7" fillId="3" borderId="3" xfId="0" applyFont="1" applyFill="1" applyBorder="1" applyProtection="1"/>
    <xf numFmtId="0" fontId="7" fillId="3" borderId="4" xfId="0" applyFont="1" applyFill="1" applyBorder="1" applyAlignment="1" applyProtection="1">
      <alignment horizontal="left" indent="2"/>
    </xf>
    <xf numFmtId="0" fontId="7" fillId="3" borderId="5" xfId="0" applyFont="1" applyFill="1" applyBorder="1" applyProtection="1"/>
    <xf numFmtId="0" fontId="7" fillId="3" borderId="6" xfId="0" applyFont="1" applyFill="1" applyBorder="1" applyAlignment="1" applyProtection="1">
      <alignment horizontal="left" indent="2"/>
    </xf>
    <xf numFmtId="0" fontId="7" fillId="3" borderId="8" xfId="0" applyFont="1" applyFill="1" applyBorder="1" applyProtection="1"/>
    <xf numFmtId="0" fontId="4" fillId="3" borderId="4" xfId="0" applyFont="1" applyFill="1" applyBorder="1" applyAlignment="1" applyProtection="1">
      <alignment horizontal="center"/>
    </xf>
    <xf numFmtId="0" fontId="4" fillId="3" borderId="0" xfId="0" applyFont="1" applyFill="1" applyBorder="1" applyAlignment="1" applyProtection="1">
      <alignment horizontal="center"/>
    </xf>
    <xf numFmtId="0" fontId="4" fillId="4" borderId="13" xfId="0" applyFont="1" applyFill="1" applyBorder="1" applyAlignment="1" applyProtection="1">
      <alignment horizontal="center" wrapText="1"/>
    </xf>
    <xf numFmtId="166" fontId="7" fillId="3" borderId="0" xfId="0" applyNumberFormat="1" applyFont="1" applyFill="1" applyBorder="1" applyAlignment="1" applyProtection="1">
      <alignment vertical="center"/>
    </xf>
    <xf numFmtId="166" fontId="7" fillId="3" borderId="0" xfId="0" applyNumberFormat="1" applyFont="1" applyFill="1" applyBorder="1" applyAlignment="1" applyProtection="1">
      <alignment horizontal="left"/>
    </xf>
    <xf numFmtId="166" fontId="7" fillId="3" borderId="0" xfId="0" applyNumberFormat="1" applyFont="1" applyFill="1" applyBorder="1" applyAlignment="1" applyProtection="1"/>
    <xf numFmtId="166" fontId="7" fillId="3" borderId="0" xfId="0" applyNumberFormat="1" applyFont="1" applyFill="1" applyBorder="1" applyAlignment="1" applyProtection="1">
      <alignment horizontal="center"/>
    </xf>
    <xf numFmtId="167" fontId="7" fillId="3" borderId="0" xfId="1" applyNumberFormat="1" applyFont="1" applyFill="1" applyBorder="1" applyAlignment="1" applyProtection="1">
      <alignment horizontal="center"/>
    </xf>
    <xf numFmtId="0" fontId="4" fillId="3" borderId="0" xfId="0" applyFont="1" applyFill="1" applyBorder="1" applyAlignment="1" applyProtection="1">
      <alignment wrapText="1"/>
    </xf>
    <xf numFmtId="166" fontId="7" fillId="3" borderId="21" xfId="0" applyNumberFormat="1" applyFont="1" applyFill="1" applyBorder="1" applyAlignment="1" applyProtection="1"/>
    <xf numFmtId="170" fontId="9" fillId="7" borderId="21" xfId="0" applyNumberFormat="1" applyFont="1" applyFill="1" applyBorder="1" applyAlignment="1" applyProtection="1">
      <alignment horizontal="center"/>
    </xf>
    <xf numFmtId="170" fontId="7" fillId="3" borderId="4" xfId="0" applyNumberFormat="1" applyFont="1" applyFill="1" applyBorder="1" applyAlignment="1" applyProtection="1">
      <alignment horizontal="center"/>
    </xf>
    <xf numFmtId="167" fontId="7" fillId="3" borderId="35" xfId="1" applyNumberFormat="1" applyFont="1" applyFill="1" applyBorder="1" applyAlignment="1" applyProtection="1">
      <alignment horizontal="center"/>
    </xf>
    <xf numFmtId="166" fontId="7" fillId="3" borderId="24" xfId="0" applyNumberFormat="1" applyFont="1" applyFill="1" applyBorder="1" applyAlignment="1" applyProtection="1"/>
    <xf numFmtId="170" fontId="9" fillId="7" borderId="24" xfId="0" applyNumberFormat="1" applyFont="1" applyFill="1" applyBorder="1" applyAlignment="1" applyProtection="1">
      <alignment horizontal="center"/>
    </xf>
    <xf numFmtId="170" fontId="7" fillId="3" borderId="44" xfId="0" applyNumberFormat="1" applyFont="1" applyFill="1" applyBorder="1" applyAlignment="1" applyProtection="1">
      <alignment horizontal="center"/>
    </xf>
    <xf numFmtId="167" fontId="7" fillId="3" borderId="48" xfId="1" applyNumberFormat="1" applyFont="1" applyFill="1" applyBorder="1" applyAlignment="1" applyProtection="1">
      <alignment horizontal="center"/>
    </xf>
    <xf numFmtId="0" fontId="4" fillId="3" borderId="1"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7" xfId="0" applyFont="1" applyFill="1" applyBorder="1" applyAlignment="1" applyProtection="1">
      <alignment horizontal="center"/>
    </xf>
    <xf numFmtId="166" fontId="7" fillId="3" borderId="18" xfId="0" applyNumberFormat="1" applyFont="1" applyFill="1" applyBorder="1" applyAlignment="1" applyProtection="1"/>
    <xf numFmtId="170" fontId="9" fillId="7" borderId="18" xfId="0" applyNumberFormat="1" applyFont="1" applyFill="1" applyBorder="1" applyAlignment="1" applyProtection="1">
      <alignment horizontal="center"/>
    </xf>
    <xf numFmtId="170" fontId="7" fillId="3" borderId="46" xfId="0" applyNumberFormat="1" applyFont="1" applyFill="1" applyBorder="1" applyAlignment="1" applyProtection="1">
      <alignment horizontal="center"/>
    </xf>
    <xf numFmtId="167" fontId="7" fillId="3" borderId="47" xfId="1" applyNumberFormat="1" applyFont="1" applyFill="1" applyBorder="1" applyAlignment="1" applyProtection="1">
      <alignment horizontal="center"/>
    </xf>
    <xf numFmtId="0" fontId="5" fillId="3" borderId="0" xfId="0" applyFont="1" applyFill="1" applyAlignment="1" applyProtection="1"/>
    <xf numFmtId="0" fontId="4" fillId="3" borderId="0" xfId="0" applyFont="1" applyFill="1" applyBorder="1" applyProtection="1"/>
    <xf numFmtId="0" fontId="4" fillId="3" borderId="0" xfId="0" applyFont="1" applyFill="1" applyBorder="1" applyAlignment="1" applyProtection="1">
      <alignment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vertical="center"/>
    </xf>
    <xf numFmtId="166" fontId="7" fillId="6" borderId="18" xfId="0" applyNumberFormat="1" applyFont="1" applyFill="1" applyBorder="1" applyAlignment="1" applyProtection="1">
      <alignment horizontal="center" vertical="center" wrapText="1"/>
    </xf>
    <xf numFmtId="166" fontId="7" fillId="0" borderId="46" xfId="0" applyNumberFormat="1" applyFont="1" applyFill="1" applyBorder="1" applyAlignment="1" applyProtection="1">
      <alignment horizontal="center" vertical="center" wrapText="1"/>
    </xf>
    <xf numFmtId="166" fontId="7" fillId="0" borderId="47" xfId="0" applyNumberFormat="1" applyFont="1" applyFill="1" applyBorder="1" applyAlignment="1" applyProtection="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0CA9-770F-4234-A2BB-44BDCAF5DCA9}">
  <dimension ref="B1:AC202"/>
  <sheetViews>
    <sheetView tabSelected="1" workbookViewId="0">
      <selection activeCell="B4" sqref="B4:AC5"/>
    </sheetView>
  </sheetViews>
  <sheetFormatPr defaultRowHeight="16.5" x14ac:dyDescent="0.3"/>
  <cols>
    <col min="1" max="1" width="5.7109375" style="2" customWidth="1"/>
    <col min="2" max="16384" width="9.140625" style="2"/>
  </cols>
  <sheetData>
    <row r="1" spans="2:29" s="1" customFormat="1" ht="17.25" thickBot="1" x14ac:dyDescent="0.35"/>
    <row r="2" spans="2:29" ht="108.75" customHeight="1" thickBot="1" x14ac:dyDescent="0.35">
      <c r="B2" s="153" t="s">
        <v>98</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5"/>
    </row>
    <row r="3" spans="2:29" s="1" customFormat="1" ht="17.25" thickBot="1" x14ac:dyDescent="0.35"/>
    <row r="4" spans="2:29" s="1" customFormat="1" x14ac:dyDescent="0.3">
      <c r="B4" s="156" t="s">
        <v>99</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8"/>
    </row>
    <row r="5" spans="2:29" s="1" customFormat="1" ht="118.5" customHeight="1" thickBot="1" x14ac:dyDescent="0.35">
      <c r="B5" s="159"/>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1"/>
    </row>
    <row r="6" spans="2:29" s="1" customFormat="1" x14ac:dyDescent="0.3"/>
    <row r="7" spans="2:29" s="1" customFormat="1" x14ac:dyDescent="0.3"/>
    <row r="8" spans="2:29" s="1" customFormat="1" x14ac:dyDescent="0.3"/>
    <row r="9" spans="2:29" s="1" customFormat="1" x14ac:dyDescent="0.3"/>
    <row r="10" spans="2:29" s="1" customFormat="1" x14ac:dyDescent="0.3"/>
    <row r="11" spans="2:29" s="1" customFormat="1" x14ac:dyDescent="0.3"/>
    <row r="12" spans="2:29" s="1" customFormat="1" x14ac:dyDescent="0.3"/>
    <row r="13" spans="2:29" s="1" customFormat="1" x14ac:dyDescent="0.3"/>
    <row r="14" spans="2:29" s="1" customFormat="1" x14ac:dyDescent="0.3"/>
    <row r="15" spans="2:29" s="1" customFormat="1" x14ac:dyDescent="0.3"/>
    <row r="16" spans="2:29" s="1" customFormat="1" x14ac:dyDescent="0.3"/>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x14ac:dyDescent="0.3"/>
    <row r="31" s="1" customFormat="1" x14ac:dyDescent="0.3"/>
    <row r="32"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sheetData>
  <sheetProtection algorithmName="SHA-512" hashValue="PkCuFAR6zxhGIgmJxadgFfpZVg7xw7MVns0Snn3lbVcXCUpYfT7o59tlA8Dd39LX7rVFldhy/r7XQuC+dg9msQ==" saltValue="0ktenaFNyqjQLOD61G1FHg==" spinCount="100000" sheet="1" objects="1" scenarios="1" selectLockedCells="1" selectUnlockedCells="1"/>
  <mergeCells count="2">
    <mergeCell ref="B2:AC2"/>
    <mergeCell ref="B4:A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3557C-B11B-4C62-967E-0C32E72E527D}">
  <dimension ref="A1:BB202"/>
  <sheetViews>
    <sheetView zoomScale="90" zoomScaleNormal="90" workbookViewId="0">
      <selection activeCell="E9" sqref="E9"/>
    </sheetView>
  </sheetViews>
  <sheetFormatPr defaultRowHeight="13.5" x14ac:dyDescent="0.25"/>
  <cols>
    <col min="1" max="1" width="6.7109375" style="225" customWidth="1"/>
    <col min="2" max="2" width="5.140625" style="240" customWidth="1"/>
    <col min="3" max="3" width="30.42578125" style="240" customWidth="1"/>
    <col min="4" max="4" width="15.7109375" style="240" customWidth="1"/>
    <col min="5" max="6" width="17.5703125" style="240" customWidth="1"/>
    <col min="7" max="7" width="9.140625" style="240"/>
    <col min="8" max="8" width="5.140625" style="240" customWidth="1"/>
    <col min="9" max="9" width="15.42578125" style="240" customWidth="1"/>
    <col min="10" max="14" width="20.85546875" style="240" customWidth="1"/>
    <col min="15" max="18" width="9.140625" style="240"/>
    <col min="19" max="54" width="9.140625" style="225"/>
    <col min="55" max="16384" width="9.140625" style="240"/>
  </cols>
  <sheetData>
    <row r="1" spans="2:25" x14ac:dyDescent="0.25">
      <c r="B1" s="225"/>
      <c r="C1" s="225"/>
      <c r="D1" s="225"/>
      <c r="E1" s="225"/>
      <c r="F1" s="225"/>
      <c r="G1" s="225"/>
      <c r="H1" s="225"/>
      <c r="I1" s="225"/>
      <c r="J1" s="225"/>
      <c r="K1" s="225"/>
      <c r="L1" s="225"/>
      <c r="M1" s="225"/>
      <c r="N1" s="225"/>
      <c r="O1" s="225"/>
      <c r="P1" s="225"/>
      <c r="Q1" s="225"/>
      <c r="R1" s="225"/>
    </row>
    <row r="2" spans="2:25" s="225" customFormat="1" x14ac:dyDescent="0.25">
      <c r="C2" s="298" t="s">
        <v>84</v>
      </c>
      <c r="D2" s="298"/>
      <c r="E2" s="298"/>
      <c r="F2" s="298"/>
      <c r="G2" s="298"/>
      <c r="H2" s="298"/>
      <c r="I2" s="298"/>
      <c r="J2" s="298"/>
      <c r="K2" s="298"/>
      <c r="L2" s="298"/>
      <c r="M2" s="298"/>
      <c r="N2" s="298"/>
      <c r="O2" s="298"/>
      <c r="P2" s="298"/>
      <c r="Q2" s="298"/>
      <c r="R2" s="298"/>
      <c r="S2" s="298"/>
      <c r="T2" s="298"/>
      <c r="U2" s="298"/>
      <c r="V2" s="298"/>
      <c r="W2" s="298"/>
      <c r="X2" s="298"/>
      <c r="Y2" s="298"/>
    </row>
    <row r="3" spans="2:25" s="225" customFormat="1" x14ac:dyDescent="0.25">
      <c r="C3" s="238"/>
      <c r="D3" s="238"/>
      <c r="E3" s="238"/>
      <c r="F3" s="238"/>
      <c r="G3" s="238"/>
      <c r="H3" s="238"/>
      <c r="I3" s="238"/>
      <c r="J3" s="238"/>
      <c r="K3" s="238"/>
      <c r="L3" s="238"/>
      <c r="M3" s="238"/>
      <c r="N3" s="238"/>
      <c r="O3" s="238"/>
      <c r="P3" s="238"/>
      <c r="Q3" s="238"/>
      <c r="R3" s="238"/>
      <c r="S3" s="238"/>
      <c r="T3" s="238"/>
      <c r="U3" s="238"/>
      <c r="V3" s="238"/>
      <c r="W3" s="238"/>
      <c r="X3" s="238"/>
      <c r="Y3" s="238"/>
    </row>
    <row r="4" spans="2:25" x14ac:dyDescent="0.25">
      <c r="B4" s="239" t="s">
        <v>83</v>
      </c>
      <c r="D4" s="225"/>
      <c r="E4" s="225"/>
      <c r="F4" s="225"/>
      <c r="G4" s="225"/>
      <c r="H4" s="239" t="s">
        <v>88</v>
      </c>
      <c r="I4" s="225"/>
      <c r="J4" s="225"/>
      <c r="K4" s="225"/>
      <c r="L4" s="225"/>
      <c r="M4" s="225"/>
      <c r="N4" s="225"/>
      <c r="O4" s="225"/>
      <c r="P4" s="225"/>
      <c r="Q4" s="225"/>
      <c r="R4" s="225"/>
    </row>
    <row r="5" spans="2:25" x14ac:dyDescent="0.25">
      <c r="B5" s="225"/>
      <c r="C5" s="225"/>
      <c r="D5" s="225"/>
      <c r="E5" s="225"/>
      <c r="F5" s="225"/>
      <c r="G5" s="225"/>
      <c r="H5" s="225"/>
      <c r="I5" s="225"/>
      <c r="J5" s="299"/>
      <c r="K5" s="225"/>
      <c r="L5" s="225"/>
      <c r="M5" s="225"/>
      <c r="N5" s="225"/>
      <c r="O5" s="225"/>
      <c r="P5" s="225"/>
      <c r="Q5" s="225"/>
      <c r="R5" s="225"/>
    </row>
    <row r="6" spans="2:25" ht="15" customHeight="1" thickBot="1" x14ac:dyDescent="0.3">
      <c r="B6" s="225"/>
      <c r="C6" s="226" t="s">
        <v>59</v>
      </c>
      <c r="D6" s="227"/>
      <c r="E6" s="227"/>
      <c r="F6" s="228"/>
      <c r="G6" s="225"/>
      <c r="H6" s="225"/>
      <c r="J6" s="300"/>
      <c r="L6" s="225"/>
      <c r="M6" s="225"/>
      <c r="N6" s="225"/>
      <c r="O6" s="225"/>
      <c r="P6" s="225"/>
      <c r="Q6" s="225"/>
      <c r="R6" s="225"/>
    </row>
    <row r="7" spans="2:25" ht="41.25" customHeight="1" thickBot="1" x14ac:dyDescent="0.3">
      <c r="B7" s="225"/>
      <c r="C7" s="241"/>
      <c r="D7" s="242"/>
      <c r="E7" s="243" t="s">
        <v>86</v>
      </c>
      <c r="F7" s="244" t="s">
        <v>66</v>
      </c>
      <c r="G7" s="225"/>
      <c r="I7" s="301" t="s">
        <v>64</v>
      </c>
      <c r="J7" s="302"/>
      <c r="K7" s="303" t="s">
        <v>80</v>
      </c>
      <c r="L7" s="304" t="s">
        <v>92</v>
      </c>
      <c r="M7" s="304" t="s">
        <v>91</v>
      </c>
      <c r="N7" s="305" t="s">
        <v>85</v>
      </c>
      <c r="O7" s="225"/>
      <c r="P7" s="225"/>
      <c r="Q7" s="225"/>
      <c r="R7" s="225"/>
    </row>
    <row r="8" spans="2:25" x14ac:dyDescent="0.25">
      <c r="B8" s="225"/>
      <c r="C8" s="232" t="s">
        <v>56</v>
      </c>
      <c r="D8" s="233" t="s">
        <v>55</v>
      </c>
      <c r="E8" s="205">
        <v>3000000</v>
      </c>
      <c r="F8" s="229">
        <v>3000000</v>
      </c>
      <c r="G8" s="225"/>
      <c r="H8" s="225"/>
      <c r="I8" s="209" t="s">
        <v>43</v>
      </c>
      <c r="J8" s="294" t="s">
        <v>89</v>
      </c>
      <c r="K8" s="295">
        <f>'Simplified tariff model'!F62</f>
        <v>0.77493355481727588</v>
      </c>
      <c r="L8" s="296">
        <f>'Simplified tariff model'!H62</f>
        <v>0.77493355481727588</v>
      </c>
      <c r="M8" s="296">
        <v>0.77200000000000002</v>
      </c>
      <c r="N8" s="297">
        <f>M8/L8-1</f>
        <v>-3.7855565797090263E-3</v>
      </c>
      <c r="O8" s="225"/>
      <c r="P8" s="225"/>
      <c r="Q8" s="225"/>
      <c r="R8" s="225"/>
    </row>
    <row r="9" spans="2:25" ht="14.25" thickBot="1" x14ac:dyDescent="0.3">
      <c r="B9" s="225"/>
      <c r="C9" s="234" t="s">
        <v>57</v>
      </c>
      <c r="D9" s="235" t="s">
        <v>55</v>
      </c>
      <c r="E9" s="207">
        <v>14900000</v>
      </c>
      <c r="F9" s="230">
        <v>14900000</v>
      </c>
      <c r="G9" s="225"/>
      <c r="H9" s="225"/>
      <c r="I9" s="208"/>
      <c r="J9" s="286" t="s">
        <v>90</v>
      </c>
      <c r="K9" s="287">
        <f>'Simplified tariff model'!F63</f>
        <v>0.86017624584717634</v>
      </c>
      <c r="L9" s="288">
        <f>'Simplified tariff model'!H63</f>
        <v>0.86017624584717634</v>
      </c>
      <c r="M9" s="288">
        <v>0.85699999999999998</v>
      </c>
      <c r="N9" s="289">
        <f>M9/L9-1</f>
        <v>-3.6925523838990948E-3</v>
      </c>
      <c r="O9" s="225"/>
      <c r="P9" s="225"/>
      <c r="Q9" s="225"/>
      <c r="R9" s="225"/>
    </row>
    <row r="10" spans="2:25" x14ac:dyDescent="0.25">
      <c r="B10" s="225"/>
      <c r="C10" s="234" t="s">
        <v>11</v>
      </c>
      <c r="D10" s="235" t="s">
        <v>55</v>
      </c>
      <c r="E10" s="207">
        <v>11100000</v>
      </c>
      <c r="F10" s="230">
        <v>11100000</v>
      </c>
      <c r="G10" s="225"/>
      <c r="H10" s="225"/>
      <c r="I10" s="209" t="s">
        <v>44</v>
      </c>
      <c r="J10" s="282" t="s">
        <v>46</v>
      </c>
      <c r="K10" s="283">
        <f>'Simplified tariff model'!F64</f>
        <v>1.2547526123868402</v>
      </c>
      <c r="L10" s="284">
        <f>'Simplified tariff model'!H64</f>
        <v>1.2547526123868402</v>
      </c>
      <c r="M10" s="284">
        <v>1.264</v>
      </c>
      <c r="N10" s="285">
        <f>M10/L10-1</f>
        <v>7.3698891095106411E-3</v>
      </c>
      <c r="O10" s="225"/>
      <c r="P10" s="225"/>
      <c r="Q10" s="225"/>
      <c r="R10" s="225"/>
    </row>
    <row r="11" spans="2:25" x14ac:dyDescent="0.25">
      <c r="B11" s="225"/>
      <c r="C11" s="234" t="s">
        <v>12</v>
      </c>
      <c r="D11" s="235" t="s">
        <v>55</v>
      </c>
      <c r="E11" s="207">
        <v>36500000</v>
      </c>
      <c r="F11" s="230">
        <v>36500000</v>
      </c>
      <c r="G11" s="225"/>
      <c r="H11" s="225"/>
      <c r="I11" s="206"/>
      <c r="J11" s="282" t="s">
        <v>47</v>
      </c>
      <c r="K11" s="283">
        <f>'Simplified tariff model'!F65</f>
        <v>0.95195055550702479</v>
      </c>
      <c r="L11" s="284">
        <f>'Simplified tariff model'!H65</f>
        <v>0.95195055550702479</v>
      </c>
      <c r="M11" s="284">
        <v>0.94199999999999995</v>
      </c>
      <c r="N11" s="285">
        <f>M11/L11-1</f>
        <v>-1.045280708064189E-2</v>
      </c>
      <c r="O11" s="225"/>
      <c r="P11" s="225"/>
      <c r="Q11" s="225"/>
      <c r="R11" s="225"/>
    </row>
    <row r="12" spans="2:25" x14ac:dyDescent="0.25">
      <c r="B12" s="225"/>
      <c r="C12" s="234" t="s">
        <v>67</v>
      </c>
      <c r="D12" s="235" t="s">
        <v>55</v>
      </c>
      <c r="E12" s="207">
        <v>3400000</v>
      </c>
      <c r="F12" s="230">
        <v>3400000</v>
      </c>
      <c r="G12" s="225"/>
      <c r="H12" s="225"/>
      <c r="I12" s="206"/>
      <c r="J12" s="282" t="s">
        <v>48</v>
      </c>
      <c r="K12" s="283">
        <f>'Simplified tariff model'!F66</f>
        <v>1.4423330226524735</v>
      </c>
      <c r="L12" s="284">
        <f>'Simplified tariff model'!H66</f>
        <v>1.4423330226524735</v>
      </c>
      <c r="M12" s="284">
        <v>1.462</v>
      </c>
      <c r="N12" s="285">
        <f>M12/L12-1</f>
        <v>1.3635531488670027E-2</v>
      </c>
      <c r="O12" s="225"/>
      <c r="P12" s="225"/>
      <c r="Q12" s="225"/>
      <c r="R12" s="225"/>
    </row>
    <row r="13" spans="2:25" x14ac:dyDescent="0.25">
      <c r="B13" s="225"/>
      <c r="C13" s="236" t="s">
        <v>58</v>
      </c>
      <c r="D13" s="237" t="s">
        <v>55</v>
      </c>
      <c r="E13" s="210">
        <v>21400000</v>
      </c>
      <c r="F13" s="231">
        <v>21400000</v>
      </c>
      <c r="G13" s="225"/>
      <c r="H13" s="225"/>
      <c r="I13" s="206"/>
      <c r="J13" s="282" t="s">
        <v>49</v>
      </c>
      <c r="K13" s="283">
        <f>'Simplified tariff model'!F67</f>
        <v>0.77790453394817305</v>
      </c>
      <c r="L13" s="284">
        <f>'Simplified tariff model'!H67</f>
        <v>0.77790453394817305</v>
      </c>
      <c r="M13" s="284">
        <v>0.78400000000000003</v>
      </c>
      <c r="N13" s="285">
        <f>M13/L13-1</f>
        <v>7.8357507712289998E-3</v>
      </c>
      <c r="O13" s="225"/>
      <c r="P13" s="225"/>
      <c r="Q13" s="225"/>
      <c r="R13" s="225"/>
    </row>
    <row r="14" spans="2:25" x14ac:dyDescent="0.25">
      <c r="B14" s="225"/>
      <c r="C14" s="225"/>
      <c r="D14" s="225"/>
      <c r="E14" s="225"/>
      <c r="F14" s="225"/>
      <c r="G14" s="225"/>
      <c r="H14" s="225"/>
      <c r="I14" s="206"/>
      <c r="J14" s="282" t="s">
        <v>50</v>
      </c>
      <c r="K14" s="283">
        <f>'Simplified tariff model'!F68</f>
        <v>1.3995305183672766</v>
      </c>
      <c r="L14" s="284">
        <f>'Simplified tariff model'!H68</f>
        <v>1.3995305183672766</v>
      </c>
      <c r="M14" s="284">
        <v>1.3979999999999999</v>
      </c>
      <c r="N14" s="285">
        <f>M14/L14-1</f>
        <v>-1.0935941354549561E-3</v>
      </c>
      <c r="O14" s="225"/>
      <c r="P14" s="225"/>
      <c r="Q14" s="225"/>
      <c r="R14" s="225"/>
    </row>
    <row r="15" spans="2:25" x14ac:dyDescent="0.25">
      <c r="B15" s="225"/>
      <c r="C15" s="226" t="s">
        <v>54</v>
      </c>
      <c r="D15" s="227"/>
      <c r="E15" s="227"/>
      <c r="F15" s="228"/>
      <c r="G15" s="225"/>
      <c r="H15" s="225"/>
      <c r="I15" s="206"/>
      <c r="J15" s="282" t="s">
        <v>51</v>
      </c>
      <c r="K15" s="283">
        <f>'Simplified tariff model'!F69</f>
        <v>1.0493933717263446</v>
      </c>
      <c r="L15" s="284">
        <f>'Simplified tariff model'!H69</f>
        <v>1.0493933717263446</v>
      </c>
      <c r="M15" s="284">
        <v>1.048</v>
      </c>
      <c r="N15" s="285">
        <f>M15/L15-1</f>
        <v>-1.3277878094963835E-3</v>
      </c>
      <c r="O15" s="225"/>
      <c r="P15" s="225"/>
      <c r="Q15" s="225"/>
      <c r="R15" s="225"/>
    </row>
    <row r="16" spans="2:25" ht="14.25" thickBot="1" x14ac:dyDescent="0.3">
      <c r="B16" s="225"/>
      <c r="C16" s="290"/>
      <c r="D16" s="291"/>
      <c r="E16" s="211" t="s">
        <v>86</v>
      </c>
      <c r="F16" s="212" t="s">
        <v>66</v>
      </c>
      <c r="G16" s="225"/>
      <c r="H16" s="225"/>
      <c r="I16" s="208"/>
      <c r="J16" s="286" t="s">
        <v>52</v>
      </c>
      <c r="K16" s="287">
        <f>'Simplified tariff model'!F70</f>
        <v>1.1648266426162428</v>
      </c>
      <c r="L16" s="288">
        <f>'Simplified tariff model'!H70</f>
        <v>1.1648266426162428</v>
      </c>
      <c r="M16" s="288">
        <v>1.163</v>
      </c>
      <c r="N16" s="289">
        <f>M16/L16-1</f>
        <v>-1.5681669266596199E-3</v>
      </c>
      <c r="O16" s="225"/>
      <c r="P16" s="225"/>
      <c r="Q16" s="225"/>
      <c r="R16" s="225"/>
    </row>
    <row r="17" spans="2:18" x14ac:dyDescent="0.25">
      <c r="B17" s="225"/>
      <c r="C17" s="273"/>
      <c r="D17" s="274"/>
      <c r="E17" s="213"/>
      <c r="F17" s="214"/>
      <c r="G17" s="225"/>
      <c r="H17" s="225"/>
      <c r="I17" s="276"/>
      <c r="J17" s="277"/>
      <c r="K17" s="278"/>
      <c r="L17" s="278"/>
      <c r="M17" s="279"/>
      <c r="N17" s="280"/>
      <c r="O17" s="225"/>
      <c r="P17" s="225"/>
      <c r="Q17" s="225"/>
      <c r="R17" s="225"/>
    </row>
    <row r="18" spans="2:18" x14ac:dyDescent="0.25">
      <c r="B18" s="225"/>
      <c r="C18" s="292"/>
      <c r="D18" s="293"/>
      <c r="E18" s="215"/>
      <c r="F18" s="214"/>
      <c r="G18" s="225"/>
      <c r="H18" s="225"/>
      <c r="I18" s="276"/>
      <c r="J18" s="277"/>
      <c r="K18" s="278"/>
      <c r="L18" s="278"/>
      <c r="M18" s="279"/>
      <c r="N18" s="280"/>
      <c r="O18" s="225"/>
      <c r="P18" s="225"/>
      <c r="Q18" s="225"/>
      <c r="R18" s="225"/>
    </row>
    <row r="19" spans="2:18" x14ac:dyDescent="0.25">
      <c r="B19" s="225"/>
      <c r="C19" s="232" t="s">
        <v>56</v>
      </c>
      <c r="D19" s="233" t="s">
        <v>55</v>
      </c>
      <c r="E19" s="216">
        <v>24900000</v>
      </c>
      <c r="F19" s="229">
        <v>24900000</v>
      </c>
      <c r="G19" s="225"/>
      <c r="H19" s="225"/>
      <c r="I19" s="225"/>
      <c r="J19" s="225"/>
      <c r="K19" s="225"/>
      <c r="L19" s="225"/>
      <c r="M19" s="225"/>
      <c r="N19" s="225"/>
      <c r="O19" s="225"/>
      <c r="P19" s="225"/>
      <c r="Q19" s="225"/>
      <c r="R19" s="225"/>
    </row>
    <row r="20" spans="2:18" x14ac:dyDescent="0.25">
      <c r="B20" s="225"/>
      <c r="C20" s="234" t="s">
        <v>57</v>
      </c>
      <c r="D20" s="235" t="s">
        <v>55</v>
      </c>
      <c r="E20" s="217">
        <v>3300000</v>
      </c>
      <c r="F20" s="230">
        <v>3300000</v>
      </c>
      <c r="G20" s="225"/>
      <c r="H20" s="225"/>
      <c r="I20" s="225"/>
      <c r="J20" s="225"/>
      <c r="K20" s="225"/>
      <c r="L20" s="225"/>
      <c r="M20" s="225"/>
      <c r="N20" s="225"/>
      <c r="O20" s="225"/>
      <c r="P20" s="225"/>
      <c r="Q20" s="225"/>
      <c r="R20" s="225"/>
    </row>
    <row r="21" spans="2:18" x14ac:dyDescent="0.25">
      <c r="B21" s="225"/>
      <c r="C21" s="234" t="s">
        <v>11</v>
      </c>
      <c r="D21" s="235" t="s">
        <v>55</v>
      </c>
      <c r="E21" s="217">
        <v>4700000</v>
      </c>
      <c r="F21" s="230">
        <v>4700000</v>
      </c>
      <c r="G21" s="225"/>
      <c r="H21" s="225"/>
      <c r="I21" s="225"/>
      <c r="J21" s="225"/>
      <c r="K21" s="225"/>
      <c r="L21" s="225"/>
      <c r="M21" s="225"/>
      <c r="N21" s="225"/>
      <c r="O21" s="225"/>
      <c r="P21" s="225"/>
      <c r="Q21" s="225"/>
      <c r="R21" s="225"/>
    </row>
    <row r="22" spans="2:18" x14ac:dyDescent="0.25">
      <c r="B22" s="225"/>
      <c r="C22" s="234" t="s">
        <v>12</v>
      </c>
      <c r="D22" s="235" t="s">
        <v>55</v>
      </c>
      <c r="E22" s="217">
        <v>7200000</v>
      </c>
      <c r="F22" s="230">
        <v>7200000</v>
      </c>
      <c r="G22" s="225"/>
      <c r="H22" s="225"/>
      <c r="I22" s="225"/>
      <c r="J22" s="225"/>
      <c r="K22" s="225"/>
      <c r="L22" s="225"/>
      <c r="M22" s="225"/>
      <c r="N22" s="225"/>
      <c r="O22" s="225"/>
      <c r="P22" s="225"/>
      <c r="Q22" s="225"/>
      <c r="R22" s="225"/>
    </row>
    <row r="23" spans="2:18" x14ac:dyDescent="0.25">
      <c r="B23" s="225"/>
      <c r="C23" s="234" t="s">
        <v>70</v>
      </c>
      <c r="D23" s="235" t="s">
        <v>55</v>
      </c>
      <c r="E23" s="217">
        <v>11500000</v>
      </c>
      <c r="F23" s="230">
        <v>11500000</v>
      </c>
      <c r="G23" s="225"/>
      <c r="H23" s="225"/>
      <c r="I23" s="225"/>
      <c r="J23" s="225"/>
      <c r="K23" s="225"/>
      <c r="L23" s="225"/>
      <c r="M23" s="225"/>
      <c r="N23" s="225"/>
      <c r="O23" s="225"/>
      <c r="P23" s="225"/>
      <c r="Q23" s="225"/>
      <c r="R23" s="225"/>
    </row>
    <row r="24" spans="2:18" x14ac:dyDescent="0.25">
      <c r="B24" s="225"/>
      <c r="C24" s="234" t="s">
        <v>68</v>
      </c>
      <c r="D24" s="235" t="s">
        <v>55</v>
      </c>
      <c r="E24" s="217">
        <v>56300000</v>
      </c>
      <c r="F24" s="230">
        <v>56300000</v>
      </c>
      <c r="G24" s="225"/>
      <c r="H24" s="225"/>
      <c r="I24" s="225"/>
      <c r="J24" s="225"/>
      <c r="K24" s="225"/>
      <c r="L24" s="225"/>
      <c r="M24" s="225"/>
      <c r="N24" s="225"/>
      <c r="O24" s="225"/>
      <c r="P24" s="225"/>
      <c r="Q24" s="225"/>
      <c r="R24" s="225"/>
    </row>
    <row r="25" spans="2:18" x14ac:dyDescent="0.25">
      <c r="B25" s="225"/>
      <c r="C25" s="236" t="s">
        <v>69</v>
      </c>
      <c r="D25" s="237" t="s">
        <v>55</v>
      </c>
      <c r="E25" s="218">
        <v>17400000</v>
      </c>
      <c r="F25" s="231">
        <v>17400000</v>
      </c>
      <c r="G25" s="225"/>
      <c r="H25" s="225"/>
      <c r="I25" s="225"/>
      <c r="J25" s="225"/>
      <c r="K25" s="225"/>
      <c r="L25" s="225"/>
      <c r="M25" s="225"/>
      <c r="N25" s="225"/>
      <c r="O25" s="225"/>
      <c r="P25" s="225"/>
      <c r="Q25" s="225"/>
      <c r="R25" s="225"/>
    </row>
    <row r="26" spans="2:18" x14ac:dyDescent="0.25">
      <c r="B26" s="225"/>
      <c r="C26" s="225"/>
      <c r="D26" s="225"/>
      <c r="E26" s="225"/>
      <c r="F26" s="225"/>
      <c r="G26" s="225"/>
      <c r="H26" s="225"/>
      <c r="I26" s="225"/>
      <c r="J26" s="225"/>
      <c r="K26" s="225"/>
      <c r="L26" s="225"/>
      <c r="M26" s="225"/>
      <c r="N26" s="225"/>
      <c r="O26" s="225"/>
      <c r="P26" s="225"/>
      <c r="Q26" s="225"/>
      <c r="R26" s="225"/>
    </row>
    <row r="27" spans="2:18" x14ac:dyDescent="0.25">
      <c r="B27" s="225"/>
      <c r="C27" s="226" t="s">
        <v>79</v>
      </c>
      <c r="D27" s="227"/>
      <c r="E27" s="227"/>
      <c r="F27" s="228"/>
      <c r="G27" s="225"/>
      <c r="H27" s="225"/>
      <c r="I27" s="225"/>
      <c r="J27" s="225"/>
      <c r="K27" s="225"/>
      <c r="L27" s="225"/>
      <c r="M27" s="225"/>
      <c r="N27" s="225"/>
      <c r="O27" s="225"/>
      <c r="P27" s="225"/>
      <c r="Q27" s="225"/>
      <c r="R27" s="225"/>
    </row>
    <row r="28" spans="2:18" ht="40.5" x14ac:dyDescent="0.25">
      <c r="B28" s="225"/>
      <c r="C28" s="252"/>
      <c r="D28" s="258"/>
      <c r="E28" s="259" t="s">
        <v>86</v>
      </c>
      <c r="F28" s="260" t="s">
        <v>66</v>
      </c>
      <c r="G28" s="225"/>
      <c r="H28" s="225"/>
      <c r="I28" s="225"/>
      <c r="J28" s="225"/>
      <c r="K28" s="225"/>
      <c r="L28" s="225"/>
      <c r="M28" s="225"/>
      <c r="N28" s="225"/>
      <c r="O28" s="225"/>
      <c r="P28" s="225"/>
      <c r="Q28" s="225"/>
      <c r="R28" s="225"/>
    </row>
    <row r="29" spans="2:18" x14ac:dyDescent="0.25">
      <c r="B29" s="225"/>
      <c r="C29" s="257" t="s">
        <v>77</v>
      </c>
      <c r="D29" s="237" t="s">
        <v>55</v>
      </c>
      <c r="E29" s="219">
        <v>17700000</v>
      </c>
      <c r="F29" s="256">
        <v>17700000</v>
      </c>
      <c r="G29" s="225"/>
      <c r="H29" s="225"/>
      <c r="I29" s="225"/>
      <c r="J29" s="225"/>
      <c r="K29" s="225"/>
      <c r="L29" s="225"/>
      <c r="M29" s="225"/>
      <c r="N29" s="225"/>
      <c r="O29" s="225"/>
      <c r="P29" s="225"/>
      <c r="Q29" s="225"/>
      <c r="R29" s="225"/>
    </row>
    <row r="30" spans="2:18" x14ac:dyDescent="0.25">
      <c r="B30" s="225"/>
      <c r="C30" s="225"/>
      <c r="D30" s="225"/>
      <c r="E30" s="225"/>
      <c r="F30" s="225"/>
      <c r="G30" s="225"/>
      <c r="H30" s="225"/>
      <c r="I30" s="225"/>
      <c r="J30" s="225"/>
      <c r="K30" s="225"/>
      <c r="L30" s="225"/>
      <c r="M30" s="225"/>
      <c r="N30" s="225"/>
      <c r="O30" s="225"/>
      <c r="P30" s="225"/>
      <c r="Q30" s="225"/>
      <c r="R30" s="225"/>
    </row>
    <row r="31" spans="2:18" x14ac:dyDescent="0.25">
      <c r="B31" s="225"/>
      <c r="C31" s="226" t="s">
        <v>71</v>
      </c>
      <c r="D31" s="227"/>
      <c r="E31" s="227"/>
      <c r="F31" s="228"/>
      <c r="G31" s="225"/>
      <c r="H31" s="225"/>
      <c r="I31" s="225"/>
      <c r="J31" s="225"/>
      <c r="K31" s="225"/>
      <c r="L31" s="225"/>
      <c r="M31" s="225"/>
      <c r="N31" s="225"/>
      <c r="O31" s="225"/>
      <c r="P31" s="225"/>
      <c r="Q31" s="225"/>
      <c r="R31" s="225"/>
    </row>
    <row r="32" spans="2:18" ht="54" x14ac:dyDescent="0.25">
      <c r="B32" s="225"/>
      <c r="C32" s="252"/>
      <c r="D32" s="253"/>
      <c r="E32" s="254" t="s">
        <v>87</v>
      </c>
      <c r="F32" s="255" t="s">
        <v>66</v>
      </c>
      <c r="G32" s="225"/>
      <c r="H32" s="225"/>
      <c r="I32" s="225"/>
      <c r="J32" s="225"/>
      <c r="K32" s="225"/>
      <c r="L32" s="225"/>
      <c r="M32" s="225"/>
      <c r="N32" s="225"/>
      <c r="O32" s="225"/>
      <c r="P32" s="225"/>
      <c r="Q32" s="225"/>
      <c r="R32" s="225"/>
    </row>
    <row r="33" spans="2:18" x14ac:dyDescent="0.25">
      <c r="B33" s="225"/>
      <c r="C33" s="245" t="s">
        <v>72</v>
      </c>
      <c r="D33" s="237" t="s">
        <v>78</v>
      </c>
      <c r="E33" s="220">
        <v>231850000</v>
      </c>
      <c r="F33" s="231">
        <v>231850000</v>
      </c>
      <c r="G33" s="225"/>
      <c r="H33" s="225"/>
      <c r="I33" s="225"/>
      <c r="J33" s="225"/>
      <c r="K33" s="225"/>
      <c r="L33" s="225"/>
      <c r="M33" s="225"/>
      <c r="N33" s="225"/>
      <c r="O33" s="225"/>
      <c r="P33" s="225"/>
      <c r="Q33" s="225"/>
      <c r="R33" s="225"/>
    </row>
    <row r="34" spans="2:18" x14ac:dyDescent="0.25">
      <c r="B34" s="225"/>
      <c r="C34" s="225"/>
      <c r="D34" s="225"/>
      <c r="E34" s="225"/>
      <c r="F34" s="225"/>
      <c r="G34" s="225"/>
      <c r="H34" s="225"/>
      <c r="I34" s="225"/>
      <c r="J34" s="225"/>
      <c r="K34" s="225"/>
      <c r="L34" s="225"/>
      <c r="M34" s="225"/>
      <c r="N34" s="225"/>
      <c r="O34" s="225"/>
      <c r="P34" s="225"/>
      <c r="Q34" s="225"/>
      <c r="R34" s="225"/>
    </row>
    <row r="35" spans="2:18" x14ac:dyDescent="0.25">
      <c r="B35" s="225"/>
      <c r="C35" s="226" t="s">
        <v>73</v>
      </c>
      <c r="D35" s="227"/>
      <c r="E35" s="227"/>
      <c r="F35" s="228"/>
      <c r="G35" s="225"/>
      <c r="H35" s="225"/>
      <c r="I35" s="225"/>
      <c r="J35" s="225"/>
      <c r="K35" s="225"/>
      <c r="L35" s="225"/>
      <c r="M35" s="225"/>
      <c r="N35" s="225"/>
      <c r="O35" s="225"/>
      <c r="P35" s="225"/>
      <c r="Q35" s="225"/>
      <c r="R35" s="225"/>
    </row>
    <row r="36" spans="2:18" ht="40.5" x14ac:dyDescent="0.25">
      <c r="B36" s="225"/>
      <c r="C36" s="252"/>
      <c r="D36" s="253"/>
      <c r="E36" s="254" t="s">
        <v>82</v>
      </c>
      <c r="F36" s="255" t="s">
        <v>81</v>
      </c>
      <c r="G36" s="225"/>
      <c r="H36" s="225"/>
      <c r="I36" s="225"/>
      <c r="J36" s="225"/>
      <c r="K36" s="225"/>
      <c r="L36" s="225"/>
      <c r="M36" s="225"/>
      <c r="N36" s="225"/>
      <c r="O36" s="225"/>
      <c r="P36" s="225"/>
      <c r="Q36" s="225"/>
      <c r="R36" s="225"/>
    </row>
    <row r="37" spans="2:18" x14ac:dyDescent="0.25">
      <c r="B37" s="225"/>
      <c r="C37" s="250" t="s">
        <v>74</v>
      </c>
      <c r="D37" s="251"/>
      <c r="E37" s="221">
        <v>0.33</v>
      </c>
      <c r="F37" s="249">
        <v>0.33</v>
      </c>
      <c r="G37" s="225"/>
      <c r="H37" s="225"/>
      <c r="I37" s="225"/>
      <c r="J37" s="225"/>
      <c r="K37" s="225"/>
      <c r="L37" s="225"/>
      <c r="M37" s="225"/>
      <c r="N37" s="225"/>
      <c r="O37" s="225"/>
      <c r="P37" s="225"/>
      <c r="Q37" s="225"/>
      <c r="R37" s="225"/>
    </row>
    <row r="38" spans="2:18" x14ac:dyDescent="0.25">
      <c r="B38" s="225"/>
      <c r="C38" s="245" t="s">
        <v>75</v>
      </c>
      <c r="D38" s="246"/>
      <c r="E38" s="247">
        <f>1-E37</f>
        <v>0.66999999999999993</v>
      </c>
      <c r="F38" s="248">
        <f>1-F37</f>
        <v>0.66999999999999993</v>
      </c>
      <c r="G38" s="225"/>
      <c r="H38" s="225"/>
      <c r="I38" s="225"/>
      <c r="J38" s="225"/>
      <c r="K38" s="225"/>
      <c r="L38" s="225"/>
      <c r="M38" s="225"/>
      <c r="N38" s="225"/>
      <c r="O38" s="225"/>
      <c r="P38" s="225"/>
      <c r="Q38" s="225"/>
      <c r="R38" s="225"/>
    </row>
    <row r="39" spans="2:18" s="225" customFormat="1" x14ac:dyDescent="0.25"/>
    <row r="40" spans="2:18" s="225" customFormat="1" x14ac:dyDescent="0.25">
      <c r="C40" s="226" t="s">
        <v>94</v>
      </c>
      <c r="D40" s="227"/>
      <c r="E40" s="227"/>
      <c r="F40" s="228"/>
    </row>
    <row r="41" spans="2:18" s="225" customFormat="1" ht="54" x14ac:dyDescent="0.25">
      <c r="C41" s="273"/>
      <c r="D41" s="274"/>
      <c r="E41" s="275" t="s">
        <v>93</v>
      </c>
      <c r="F41" s="244"/>
    </row>
    <row r="42" spans="2:18" s="225" customFormat="1" x14ac:dyDescent="0.25">
      <c r="C42" s="267">
        <v>2021</v>
      </c>
      <c r="D42" s="268"/>
      <c r="E42" s="222">
        <v>1.6E-2</v>
      </c>
      <c r="F42" s="264">
        <v>1.6E-2</v>
      </c>
    </row>
    <row r="43" spans="2:18" s="225" customFormat="1" ht="13.5" customHeight="1" x14ac:dyDescent="0.25">
      <c r="C43" s="269">
        <v>2022</v>
      </c>
      <c r="D43" s="270"/>
      <c r="E43" s="223">
        <v>1.7000000000000001E-2</v>
      </c>
      <c r="F43" s="265">
        <v>1.7000000000000001E-2</v>
      </c>
      <c r="I43" s="281"/>
    </row>
    <row r="44" spans="2:18" s="225" customFormat="1" x14ac:dyDescent="0.25">
      <c r="C44" s="271">
        <v>2023</v>
      </c>
      <c r="D44" s="272"/>
      <c r="E44" s="224">
        <v>1.7000000000000001E-2</v>
      </c>
      <c r="F44" s="266">
        <v>1.7000000000000001E-2</v>
      </c>
      <c r="I44" s="281"/>
    </row>
    <row r="45" spans="2:18" s="225" customFormat="1" x14ac:dyDescent="0.25">
      <c r="C45" s="261"/>
      <c r="D45" s="261"/>
      <c r="E45" s="262"/>
      <c r="F45" s="263"/>
      <c r="I45" s="281"/>
    </row>
    <row r="46" spans="2:18" s="225" customFormat="1" x14ac:dyDescent="0.25">
      <c r="C46" s="225" t="s">
        <v>95</v>
      </c>
    </row>
    <row r="47" spans="2:18" s="225" customFormat="1" x14ac:dyDescent="0.25"/>
    <row r="48" spans="2:18" s="225" customFormat="1" x14ac:dyDescent="0.25"/>
    <row r="49" s="225" customFormat="1" x14ac:dyDescent="0.25"/>
    <row r="50" s="225" customFormat="1" x14ac:dyDescent="0.25"/>
    <row r="51" s="225" customFormat="1" x14ac:dyDescent="0.25"/>
    <row r="52" s="225" customFormat="1" x14ac:dyDescent="0.25"/>
    <row r="53" s="225" customFormat="1" x14ac:dyDescent="0.25"/>
    <row r="54" s="225" customFormat="1" x14ac:dyDescent="0.25"/>
    <row r="55" s="225" customFormat="1" x14ac:dyDescent="0.25"/>
    <row r="56" s="225" customFormat="1" x14ac:dyDescent="0.25"/>
    <row r="57" s="225" customFormat="1" x14ac:dyDescent="0.25"/>
    <row r="58" s="225" customFormat="1" x14ac:dyDescent="0.25"/>
    <row r="59" s="225" customFormat="1" x14ac:dyDescent="0.25"/>
    <row r="60" s="225" customFormat="1" x14ac:dyDescent="0.25"/>
    <row r="61" s="225" customFormat="1" x14ac:dyDescent="0.25"/>
    <row r="62" s="225" customFormat="1" x14ac:dyDescent="0.25"/>
    <row r="63" s="225" customFormat="1" x14ac:dyDescent="0.25"/>
    <row r="64" s="225" customFormat="1" x14ac:dyDescent="0.25"/>
    <row r="65" s="225" customFormat="1" x14ac:dyDescent="0.25"/>
    <row r="66" s="225" customFormat="1" x14ac:dyDescent="0.25"/>
    <row r="67" s="225" customFormat="1" x14ac:dyDescent="0.25"/>
    <row r="68" s="225" customFormat="1" x14ac:dyDescent="0.25"/>
    <row r="69" s="225" customFormat="1" x14ac:dyDescent="0.25"/>
    <row r="70" s="225" customFormat="1" x14ac:dyDescent="0.25"/>
    <row r="71" s="225" customFormat="1" x14ac:dyDescent="0.25"/>
    <row r="72" s="225" customFormat="1" x14ac:dyDescent="0.25"/>
    <row r="73" s="225" customFormat="1" x14ac:dyDescent="0.25"/>
    <row r="74" s="225" customFormat="1" x14ac:dyDescent="0.25"/>
    <row r="75" s="225" customFormat="1" x14ac:dyDescent="0.25"/>
    <row r="76" s="225" customFormat="1" x14ac:dyDescent="0.25"/>
    <row r="77" s="225" customFormat="1" x14ac:dyDescent="0.25"/>
    <row r="78" s="225" customFormat="1" x14ac:dyDescent="0.25"/>
    <row r="79" s="225" customFormat="1" x14ac:dyDescent="0.25"/>
    <row r="80" s="225" customFormat="1" x14ac:dyDescent="0.25"/>
    <row r="81" s="225" customFormat="1" x14ac:dyDescent="0.25"/>
    <row r="82" s="225" customFormat="1" x14ac:dyDescent="0.25"/>
    <row r="83" s="225" customFormat="1" x14ac:dyDescent="0.25"/>
    <row r="84" s="225" customFormat="1" x14ac:dyDescent="0.25"/>
    <row r="85" s="225" customFormat="1" x14ac:dyDescent="0.25"/>
    <row r="86" s="225" customFormat="1" x14ac:dyDescent="0.25"/>
    <row r="87" s="225" customFormat="1" x14ac:dyDescent="0.25"/>
    <row r="88" s="225" customFormat="1" x14ac:dyDescent="0.25"/>
    <row r="89" s="225" customFormat="1" x14ac:dyDescent="0.25"/>
    <row r="90" s="225" customFormat="1" x14ac:dyDescent="0.25"/>
    <row r="91" s="225" customFormat="1" x14ac:dyDescent="0.25"/>
    <row r="92" s="225" customFormat="1" x14ac:dyDescent="0.25"/>
    <row r="93" s="225" customFormat="1" x14ac:dyDescent="0.25"/>
    <row r="94" s="225" customFormat="1" x14ac:dyDescent="0.25"/>
    <row r="95" s="225" customFormat="1" x14ac:dyDescent="0.25"/>
    <row r="96" s="225" customFormat="1" x14ac:dyDescent="0.25"/>
    <row r="97" s="225" customFormat="1" x14ac:dyDescent="0.25"/>
    <row r="98" s="225" customFormat="1" x14ac:dyDescent="0.25"/>
    <row r="99" s="225" customFormat="1" x14ac:dyDescent="0.25"/>
    <row r="100" s="225" customFormat="1" x14ac:dyDescent="0.25"/>
    <row r="101" s="225" customFormat="1" x14ac:dyDescent="0.25"/>
    <row r="102" s="225" customFormat="1" x14ac:dyDescent="0.25"/>
    <row r="103" s="225" customFormat="1" x14ac:dyDescent="0.25"/>
    <row r="104" s="225" customFormat="1" x14ac:dyDescent="0.25"/>
    <row r="105" s="225" customFormat="1" x14ac:dyDescent="0.25"/>
    <row r="106" s="225" customFormat="1" x14ac:dyDescent="0.25"/>
    <row r="107" s="225" customFormat="1" x14ac:dyDescent="0.25"/>
    <row r="108" s="225" customFormat="1" x14ac:dyDescent="0.25"/>
    <row r="109" s="225" customFormat="1" x14ac:dyDescent="0.25"/>
    <row r="110" s="225" customFormat="1" x14ac:dyDescent="0.25"/>
    <row r="111" s="225" customFormat="1" x14ac:dyDescent="0.25"/>
    <row r="112" s="225" customFormat="1" x14ac:dyDescent="0.25"/>
    <row r="113" s="225" customFormat="1" x14ac:dyDescent="0.25"/>
    <row r="114" s="225" customFormat="1" x14ac:dyDescent="0.25"/>
    <row r="115" s="225" customFormat="1" x14ac:dyDescent="0.25"/>
    <row r="116" s="225" customFormat="1" x14ac:dyDescent="0.25"/>
    <row r="117" s="225" customFormat="1" x14ac:dyDescent="0.25"/>
    <row r="118" s="225" customFormat="1" x14ac:dyDescent="0.25"/>
    <row r="119" s="225" customFormat="1" x14ac:dyDescent="0.25"/>
    <row r="120" s="225" customFormat="1" x14ac:dyDescent="0.25"/>
    <row r="121" s="225" customFormat="1" x14ac:dyDescent="0.25"/>
    <row r="122" s="225" customFormat="1" x14ac:dyDescent="0.25"/>
    <row r="123" s="225" customFormat="1" x14ac:dyDescent="0.25"/>
    <row r="124" s="225" customFormat="1" x14ac:dyDescent="0.25"/>
    <row r="125" s="225" customFormat="1" x14ac:dyDescent="0.25"/>
    <row r="126" s="225" customFormat="1" x14ac:dyDescent="0.25"/>
    <row r="127" s="225" customFormat="1" x14ac:dyDescent="0.25"/>
    <row r="128" s="225" customFormat="1" x14ac:dyDescent="0.25"/>
    <row r="129" s="225" customFormat="1" x14ac:dyDescent="0.25"/>
    <row r="130" s="225" customFormat="1" x14ac:dyDescent="0.25"/>
    <row r="131" s="225" customFormat="1" x14ac:dyDescent="0.25"/>
    <row r="132" s="225" customFormat="1" x14ac:dyDescent="0.25"/>
    <row r="133" s="225" customFormat="1" x14ac:dyDescent="0.25"/>
    <row r="134" s="225" customFormat="1" x14ac:dyDescent="0.25"/>
    <row r="135" s="225" customFormat="1" x14ac:dyDescent="0.25"/>
    <row r="136" s="225" customFormat="1" x14ac:dyDescent="0.25"/>
    <row r="137" s="225" customFormat="1" x14ac:dyDescent="0.25"/>
    <row r="138" s="225" customFormat="1" x14ac:dyDescent="0.25"/>
    <row r="139" s="225" customFormat="1" x14ac:dyDescent="0.25"/>
    <row r="140" s="225" customFormat="1" x14ac:dyDescent="0.25"/>
    <row r="141" s="225" customFormat="1" x14ac:dyDescent="0.25"/>
    <row r="142" s="225" customFormat="1" x14ac:dyDescent="0.25"/>
    <row r="143" s="225" customFormat="1" x14ac:dyDescent="0.25"/>
    <row r="144" s="225" customFormat="1" x14ac:dyDescent="0.25"/>
    <row r="145" s="225" customFormat="1" x14ac:dyDescent="0.25"/>
    <row r="146" s="225" customFormat="1" x14ac:dyDescent="0.25"/>
    <row r="147" s="225" customFormat="1" x14ac:dyDescent="0.25"/>
    <row r="148" s="225" customFormat="1" x14ac:dyDescent="0.25"/>
    <row r="149" s="225" customFormat="1" x14ac:dyDescent="0.25"/>
    <row r="150" s="225" customFormat="1" x14ac:dyDescent="0.25"/>
    <row r="151" s="225" customFormat="1" x14ac:dyDescent="0.25"/>
    <row r="152" s="225" customFormat="1" x14ac:dyDescent="0.25"/>
    <row r="153" s="225" customFormat="1" x14ac:dyDescent="0.25"/>
    <row r="154" s="225" customFormat="1" x14ac:dyDescent="0.25"/>
    <row r="155" s="225" customFormat="1" x14ac:dyDescent="0.25"/>
    <row r="156" s="225" customFormat="1" x14ac:dyDescent="0.25"/>
    <row r="157" s="225" customFormat="1" x14ac:dyDescent="0.25"/>
    <row r="158" s="225" customFormat="1" x14ac:dyDescent="0.25"/>
    <row r="159" s="225" customFormat="1" x14ac:dyDescent="0.25"/>
    <row r="160" s="225" customFormat="1" x14ac:dyDescent="0.25"/>
    <row r="161" s="225" customFormat="1" x14ac:dyDescent="0.25"/>
    <row r="162" s="225" customFormat="1" x14ac:dyDescent="0.25"/>
    <row r="163" s="225" customFormat="1" x14ac:dyDescent="0.25"/>
    <row r="164" s="225" customFormat="1" x14ac:dyDescent="0.25"/>
    <row r="165" s="225" customFormat="1" x14ac:dyDescent="0.25"/>
    <row r="166" s="225" customFormat="1" x14ac:dyDescent="0.25"/>
    <row r="167" s="225" customFormat="1" x14ac:dyDescent="0.25"/>
    <row r="168" s="225" customFormat="1" x14ac:dyDescent="0.25"/>
    <row r="169" s="225" customFormat="1" x14ac:dyDescent="0.25"/>
    <row r="170" s="225" customFormat="1" x14ac:dyDescent="0.25"/>
    <row r="171" s="225" customFormat="1" x14ac:dyDescent="0.25"/>
    <row r="172" s="225" customFormat="1" x14ac:dyDescent="0.25"/>
    <row r="173" s="225" customFormat="1" x14ac:dyDescent="0.25"/>
    <row r="174" s="225" customFormat="1" x14ac:dyDescent="0.25"/>
    <row r="175" s="225" customFormat="1" x14ac:dyDescent="0.25"/>
    <row r="176" s="225" customFormat="1" x14ac:dyDescent="0.25"/>
    <row r="177" s="225" customFormat="1" x14ac:dyDescent="0.25"/>
    <row r="178" s="225" customFormat="1" x14ac:dyDescent="0.25"/>
    <row r="179" s="225" customFormat="1" x14ac:dyDescent="0.25"/>
    <row r="180" s="225" customFormat="1" x14ac:dyDescent="0.25"/>
    <row r="181" s="225" customFormat="1" x14ac:dyDescent="0.25"/>
    <row r="182" s="225" customFormat="1" x14ac:dyDescent="0.25"/>
    <row r="183" s="225" customFormat="1" x14ac:dyDescent="0.25"/>
    <row r="184" s="225" customFormat="1" x14ac:dyDescent="0.25"/>
    <row r="185" s="225" customFormat="1" x14ac:dyDescent="0.25"/>
    <row r="186" s="225" customFormat="1" x14ac:dyDescent="0.25"/>
    <row r="187" s="225" customFormat="1" x14ac:dyDescent="0.25"/>
    <row r="188" s="225" customFormat="1" x14ac:dyDescent="0.25"/>
    <row r="189" s="225" customFormat="1" x14ac:dyDescent="0.25"/>
    <row r="190" s="225" customFormat="1" x14ac:dyDescent="0.25"/>
    <row r="191" s="225" customFormat="1" x14ac:dyDescent="0.25"/>
    <row r="192" s="225" customFormat="1" x14ac:dyDescent="0.25"/>
    <row r="193" s="225" customFormat="1" x14ac:dyDescent="0.25"/>
    <row r="194" s="225" customFormat="1" x14ac:dyDescent="0.25"/>
    <row r="195" s="225" customFormat="1" x14ac:dyDescent="0.25"/>
    <row r="196" s="225" customFormat="1" x14ac:dyDescent="0.25"/>
    <row r="197" s="225" customFormat="1" x14ac:dyDescent="0.25"/>
    <row r="198" s="225" customFormat="1" x14ac:dyDescent="0.25"/>
    <row r="199" s="225" customFormat="1" x14ac:dyDescent="0.25"/>
    <row r="200" s="225" customFormat="1" x14ac:dyDescent="0.25"/>
    <row r="201" s="225" customFormat="1" x14ac:dyDescent="0.25"/>
    <row r="202" s="225" customFormat="1" x14ac:dyDescent="0.25"/>
  </sheetData>
  <sheetProtection algorithmName="SHA-512" hashValue="knAJbmmJfH4o1FJszDDu9/cTyH8Az9WMbRB3L5bFvqOYKaujatxwHgQ7Vhap+4nCBYBXwRWB1PWLI7okzztAJw==" saltValue="XvUSrRQSGG6EiGeoLyOHJg==" spinCount="100000" sheet="1" objects="1" scenarios="1"/>
  <mergeCells count="7">
    <mergeCell ref="E16:E18"/>
    <mergeCell ref="F16:F18"/>
    <mergeCell ref="C7:D7"/>
    <mergeCell ref="C41:D41"/>
    <mergeCell ref="I8:I9"/>
    <mergeCell ref="I10:I16"/>
    <mergeCell ref="C16:D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599B9-2A30-435D-AF59-0F988314A2A4}">
  <dimension ref="B1:AO75"/>
  <sheetViews>
    <sheetView zoomScale="80" zoomScaleNormal="80" workbookViewId="0">
      <selection activeCell="C59" sqref="C59"/>
    </sheetView>
  </sheetViews>
  <sheetFormatPr defaultRowHeight="13.5" x14ac:dyDescent="0.25"/>
  <cols>
    <col min="1" max="1" width="3.42578125" style="4" customWidth="1"/>
    <col min="2" max="2" width="7.42578125" style="4" customWidth="1"/>
    <col min="3" max="3" width="9.140625" style="4"/>
    <col min="4" max="14" width="8.85546875" style="4" customWidth="1"/>
    <col min="15" max="15" width="3.140625" style="4" customWidth="1"/>
    <col min="16" max="16" width="7.28515625" style="4" customWidth="1"/>
    <col min="17" max="17" width="12.140625" style="4" customWidth="1"/>
    <col min="18" max="27" width="13.5703125" style="4" customWidth="1"/>
    <col min="28" max="28" width="15.42578125" style="4" customWidth="1"/>
    <col min="29" max="29" width="7.140625" style="4" customWidth="1"/>
    <col min="30" max="30" width="3.140625" style="4" customWidth="1"/>
    <col min="31" max="31" width="44.28515625" style="10" customWidth="1"/>
    <col min="32" max="32" width="4.7109375" style="4" customWidth="1"/>
    <col min="33" max="33" width="13.85546875" style="4" bestFit="1" customWidth="1"/>
    <col min="34" max="35" width="9.140625" style="4"/>
    <col min="36" max="36" width="10.85546875" style="4" bestFit="1" customWidth="1"/>
    <col min="37" max="16384" width="9.140625" style="4"/>
  </cols>
  <sheetData>
    <row r="1" spans="2:33" ht="4.5" customHeight="1" x14ac:dyDescent="0.25"/>
    <row r="2" spans="2:33" x14ac:dyDescent="0.25">
      <c r="B2" s="162" t="s">
        <v>84</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row>
    <row r="4" spans="2:33" ht="7.5" customHeight="1" thickBot="1" x14ac:dyDescent="0.3"/>
    <row r="5" spans="2:33" ht="5.25" customHeight="1" x14ac:dyDescent="0.25">
      <c r="B5" s="11"/>
      <c r="C5" s="12"/>
      <c r="D5" s="12"/>
      <c r="E5" s="12"/>
      <c r="F5" s="12"/>
      <c r="G5" s="12"/>
      <c r="H5" s="12"/>
      <c r="I5" s="12"/>
      <c r="J5" s="12"/>
      <c r="K5" s="12"/>
      <c r="L5" s="12"/>
      <c r="M5" s="12"/>
      <c r="N5" s="13"/>
      <c r="P5" s="11"/>
      <c r="Q5" s="12"/>
      <c r="R5" s="12"/>
      <c r="S5" s="12"/>
      <c r="T5" s="12"/>
      <c r="U5" s="12"/>
      <c r="V5" s="12"/>
      <c r="W5" s="12"/>
      <c r="X5" s="12"/>
      <c r="Y5" s="12"/>
      <c r="Z5" s="12"/>
      <c r="AA5" s="12"/>
      <c r="AB5" s="12"/>
      <c r="AC5" s="13"/>
      <c r="AD5" s="14"/>
      <c r="AE5" s="15"/>
      <c r="AF5" s="12"/>
      <c r="AG5" s="13"/>
    </row>
    <row r="6" spans="2:33" x14ac:dyDescent="0.25">
      <c r="B6" s="16" t="s">
        <v>4</v>
      </c>
      <c r="C6" s="17"/>
      <c r="D6" s="17"/>
      <c r="E6" s="17"/>
      <c r="F6" s="17"/>
      <c r="G6" s="17"/>
      <c r="H6" s="17"/>
      <c r="I6" s="17"/>
      <c r="J6" s="17"/>
      <c r="K6" s="17"/>
      <c r="L6" s="17"/>
      <c r="M6" s="17"/>
      <c r="N6" s="18"/>
      <c r="O6" s="19"/>
      <c r="P6" s="16" t="s">
        <v>42</v>
      </c>
      <c r="Q6" s="17"/>
      <c r="R6" s="17"/>
      <c r="S6" s="17"/>
      <c r="T6" s="17"/>
      <c r="U6" s="17"/>
      <c r="V6" s="17"/>
      <c r="W6" s="17"/>
      <c r="X6" s="17"/>
      <c r="Y6" s="17"/>
      <c r="Z6" s="17"/>
      <c r="AA6" s="17"/>
      <c r="AB6" s="17"/>
      <c r="AC6" s="18"/>
      <c r="AD6" s="14"/>
      <c r="AE6" s="20" t="s">
        <v>61</v>
      </c>
      <c r="AF6" s="197">
        <f>'Input data &amp; Output tariffs'!E33</f>
        <v>231850000</v>
      </c>
      <c r="AG6" s="198"/>
    </row>
    <row r="7" spans="2:33" x14ac:dyDescent="0.25">
      <c r="B7" s="21"/>
      <c r="C7" s="22"/>
      <c r="D7" s="182" t="s">
        <v>1</v>
      </c>
      <c r="E7" s="183"/>
      <c r="F7" s="183"/>
      <c r="G7" s="183"/>
      <c r="H7" s="183"/>
      <c r="I7" s="183"/>
      <c r="J7" s="183"/>
      <c r="K7" s="183"/>
      <c r="L7" s="183"/>
      <c r="M7" s="184"/>
      <c r="N7" s="23"/>
      <c r="O7" s="19"/>
      <c r="P7" s="21"/>
      <c r="Q7" s="22"/>
      <c r="R7" s="182" t="s">
        <v>1</v>
      </c>
      <c r="S7" s="183"/>
      <c r="T7" s="183"/>
      <c r="U7" s="183"/>
      <c r="V7" s="183"/>
      <c r="W7" s="183"/>
      <c r="X7" s="183"/>
      <c r="Y7" s="183"/>
      <c r="Z7" s="183"/>
      <c r="AA7" s="183"/>
      <c r="AB7" s="24"/>
      <c r="AC7" s="23"/>
      <c r="AD7" s="14"/>
      <c r="AE7" s="25" t="s">
        <v>65</v>
      </c>
      <c r="AF7" s="26"/>
      <c r="AG7" s="27"/>
    </row>
    <row r="8" spans="2:33" x14ac:dyDescent="0.25">
      <c r="B8" s="21"/>
      <c r="C8" s="28" t="s">
        <v>20</v>
      </c>
      <c r="D8" s="29" t="s">
        <v>28</v>
      </c>
      <c r="E8" s="30" t="s">
        <v>29</v>
      </c>
      <c r="F8" s="30" t="s">
        <v>32</v>
      </c>
      <c r="G8" s="30" t="s">
        <v>31</v>
      </c>
      <c r="H8" s="30" t="s">
        <v>11</v>
      </c>
      <c r="I8" s="30" t="s">
        <v>12</v>
      </c>
      <c r="J8" s="30" t="s">
        <v>14</v>
      </c>
      <c r="K8" s="30" t="s">
        <v>13</v>
      </c>
      <c r="L8" s="30" t="s">
        <v>15</v>
      </c>
      <c r="M8" s="31" t="s">
        <v>16</v>
      </c>
      <c r="N8" s="23"/>
      <c r="O8" s="19"/>
      <c r="P8" s="21"/>
      <c r="Q8" s="28" t="s">
        <v>21</v>
      </c>
      <c r="R8" s="29" t="s">
        <v>28</v>
      </c>
      <c r="S8" s="30" t="s">
        <v>29</v>
      </c>
      <c r="T8" s="30" t="s">
        <v>32</v>
      </c>
      <c r="U8" s="30" t="s">
        <v>31</v>
      </c>
      <c r="V8" s="30" t="s">
        <v>11</v>
      </c>
      <c r="W8" s="30" t="s">
        <v>12</v>
      </c>
      <c r="X8" s="30" t="s">
        <v>14</v>
      </c>
      <c r="Y8" s="30" t="s">
        <v>13</v>
      </c>
      <c r="Z8" s="30" t="s">
        <v>15</v>
      </c>
      <c r="AA8" s="31" t="s">
        <v>16</v>
      </c>
      <c r="AB8" s="32" t="s">
        <v>0</v>
      </c>
      <c r="AC8" s="23"/>
      <c r="AD8" s="14"/>
      <c r="AE8" s="25" t="s">
        <v>23</v>
      </c>
      <c r="AF8" s="14"/>
      <c r="AG8" s="33">
        <f>'Input data &amp; Output tariffs'!E37</f>
        <v>0.33</v>
      </c>
    </row>
    <row r="9" spans="2:33" x14ac:dyDescent="0.25">
      <c r="B9" s="200" t="s">
        <v>2</v>
      </c>
      <c r="C9" s="34" t="s">
        <v>28</v>
      </c>
      <c r="D9" s="35">
        <v>0</v>
      </c>
      <c r="E9" s="36">
        <v>200</v>
      </c>
      <c r="F9" s="36">
        <v>115</v>
      </c>
      <c r="G9" s="36">
        <v>312</v>
      </c>
      <c r="H9" s="36">
        <v>322</v>
      </c>
      <c r="I9" s="36">
        <v>100</v>
      </c>
      <c r="J9" s="36"/>
      <c r="K9" s="36"/>
      <c r="L9" s="37">
        <v>134</v>
      </c>
      <c r="M9" s="38"/>
      <c r="N9" s="23"/>
      <c r="O9" s="19"/>
      <c r="P9" s="200" t="s">
        <v>2</v>
      </c>
      <c r="Q9" s="34" t="s">
        <v>28</v>
      </c>
      <c r="R9" s="22"/>
      <c r="S9" s="22"/>
      <c r="T9" s="22"/>
      <c r="U9" s="22"/>
      <c r="V9" s="22"/>
      <c r="W9" s="22"/>
      <c r="X9" s="22"/>
      <c r="Y9" s="22"/>
      <c r="Z9" s="22"/>
      <c r="AA9" s="22"/>
      <c r="AB9" s="39">
        <f>'Input data &amp; Output tariffs'!E8*2/3</f>
        <v>2000000</v>
      </c>
      <c r="AC9" s="40">
        <f>AB9/SUM($AB$9:$AB$18)</f>
        <v>2.3014959723820484E-2</v>
      </c>
      <c r="AD9" s="41"/>
      <c r="AE9" s="25" t="s">
        <v>24</v>
      </c>
      <c r="AF9" s="42"/>
      <c r="AG9" s="33">
        <f>'Input data &amp; Output tariffs'!E38</f>
        <v>0.66999999999999993</v>
      </c>
    </row>
    <row r="10" spans="2:33" x14ac:dyDescent="0.25">
      <c r="B10" s="201"/>
      <c r="C10" s="43" t="s">
        <v>29</v>
      </c>
      <c r="D10" s="44">
        <v>200</v>
      </c>
      <c r="E10" s="22">
        <v>0</v>
      </c>
      <c r="F10" s="22">
        <v>175</v>
      </c>
      <c r="G10" s="22">
        <v>165</v>
      </c>
      <c r="H10" s="22">
        <v>191</v>
      </c>
      <c r="I10" s="22">
        <v>150</v>
      </c>
      <c r="J10" s="22"/>
      <c r="K10" s="22"/>
      <c r="L10" s="45">
        <v>134</v>
      </c>
      <c r="M10" s="46"/>
      <c r="N10" s="23"/>
      <c r="O10" s="19"/>
      <c r="P10" s="201"/>
      <c r="Q10" s="43" t="s">
        <v>29</v>
      </c>
      <c r="R10" s="22"/>
      <c r="S10" s="22"/>
      <c r="T10" s="22"/>
      <c r="U10" s="22"/>
      <c r="V10" s="22"/>
      <c r="W10" s="22"/>
      <c r="X10" s="22"/>
      <c r="Y10" s="22"/>
      <c r="Z10" s="22"/>
      <c r="AA10" s="22"/>
      <c r="AB10" s="47">
        <f>'Input data &amp; Output tariffs'!E8*1/3</f>
        <v>1000000</v>
      </c>
      <c r="AC10" s="40">
        <f t="shared" ref="AC10:AC18" si="0">AB10/SUM($AB$9:$AB$18)</f>
        <v>1.1507479861910242E-2</v>
      </c>
      <c r="AD10" s="41"/>
      <c r="AE10" s="25"/>
      <c r="AF10" s="42"/>
      <c r="AG10" s="33"/>
    </row>
    <row r="11" spans="2:33" x14ac:dyDescent="0.25">
      <c r="B11" s="201"/>
      <c r="C11" s="43" t="s">
        <v>30</v>
      </c>
      <c r="D11" s="44">
        <v>115</v>
      </c>
      <c r="E11" s="22">
        <v>175</v>
      </c>
      <c r="F11" s="22">
        <v>0</v>
      </c>
      <c r="G11" s="22">
        <v>215</v>
      </c>
      <c r="H11" s="22">
        <v>225</v>
      </c>
      <c r="I11" s="22">
        <v>75</v>
      </c>
      <c r="J11" s="22"/>
      <c r="K11" s="22"/>
      <c r="L11" s="45">
        <v>134</v>
      </c>
      <c r="M11" s="46"/>
      <c r="N11" s="23"/>
      <c r="O11" s="19"/>
      <c r="P11" s="201"/>
      <c r="Q11" s="43" t="s">
        <v>30</v>
      </c>
      <c r="R11" s="22"/>
      <c r="S11" s="22"/>
      <c r="T11" s="22"/>
      <c r="U11" s="22"/>
      <c r="V11" s="22"/>
      <c r="W11" s="22"/>
      <c r="X11" s="22"/>
      <c r="Y11" s="22"/>
      <c r="Z11" s="22"/>
      <c r="AA11" s="22"/>
      <c r="AB11" s="48">
        <f>'Input data &amp; Output tariffs'!E9*4.1/14.9</f>
        <v>4099999.9999999995</v>
      </c>
      <c r="AC11" s="40">
        <f t="shared" si="0"/>
        <v>4.7180667433831987E-2</v>
      </c>
      <c r="AD11" s="49"/>
      <c r="AE11" s="50"/>
      <c r="AF11" s="51"/>
      <c r="AG11" s="52"/>
    </row>
    <row r="12" spans="2:33" x14ac:dyDescent="0.25">
      <c r="B12" s="201"/>
      <c r="C12" s="43" t="s">
        <v>31</v>
      </c>
      <c r="D12" s="44">
        <v>312</v>
      </c>
      <c r="E12" s="22">
        <v>165</v>
      </c>
      <c r="F12" s="22">
        <v>215</v>
      </c>
      <c r="G12" s="22">
        <v>0</v>
      </c>
      <c r="H12" s="22">
        <v>35</v>
      </c>
      <c r="I12" s="22">
        <v>262</v>
      </c>
      <c r="J12" s="22"/>
      <c r="K12" s="22"/>
      <c r="L12" s="45">
        <v>134</v>
      </c>
      <c r="M12" s="46"/>
      <c r="N12" s="23"/>
      <c r="O12" s="19"/>
      <c r="P12" s="201"/>
      <c r="Q12" s="43" t="s">
        <v>31</v>
      </c>
      <c r="R12" s="22"/>
      <c r="S12" s="22"/>
      <c r="T12" s="22"/>
      <c r="U12" s="22"/>
      <c r="V12" s="22"/>
      <c r="W12" s="22"/>
      <c r="X12" s="22"/>
      <c r="Y12" s="22"/>
      <c r="Z12" s="22"/>
      <c r="AA12" s="22"/>
      <c r="AB12" s="48">
        <f>'Input data &amp; Output tariffs'!E9*10.8/14.9</f>
        <v>10800000</v>
      </c>
      <c r="AC12" s="40">
        <f t="shared" si="0"/>
        <v>0.12428078250863062</v>
      </c>
      <c r="AD12" s="49"/>
      <c r="AE12" s="25"/>
      <c r="AF12" s="26"/>
      <c r="AG12" s="27"/>
    </row>
    <row r="13" spans="2:33" x14ac:dyDescent="0.25">
      <c r="B13" s="201"/>
      <c r="C13" s="53" t="s">
        <v>11</v>
      </c>
      <c r="D13" s="44">
        <v>322</v>
      </c>
      <c r="E13" s="22">
        <v>191</v>
      </c>
      <c r="F13" s="22">
        <v>225</v>
      </c>
      <c r="G13" s="22">
        <v>35</v>
      </c>
      <c r="H13" s="22">
        <v>0</v>
      </c>
      <c r="I13" s="22">
        <v>272</v>
      </c>
      <c r="J13" s="22"/>
      <c r="K13" s="22"/>
      <c r="L13" s="45">
        <v>134</v>
      </c>
      <c r="M13" s="46"/>
      <c r="N13" s="23"/>
      <c r="O13" s="19"/>
      <c r="P13" s="201"/>
      <c r="Q13" s="43" t="s">
        <v>11</v>
      </c>
      <c r="R13" s="22"/>
      <c r="S13" s="22"/>
      <c r="T13" s="22"/>
      <c r="U13" s="22"/>
      <c r="V13" s="22"/>
      <c r="W13" s="22"/>
      <c r="X13" s="22"/>
      <c r="Y13" s="22"/>
      <c r="Z13" s="22"/>
      <c r="AA13" s="22"/>
      <c r="AB13" s="54">
        <f>'Input data &amp; Output tariffs'!E10</f>
        <v>11100000</v>
      </c>
      <c r="AC13" s="40">
        <f t="shared" si="0"/>
        <v>0.12773302646720369</v>
      </c>
      <c r="AD13" s="49"/>
      <c r="AE13" s="55" t="s">
        <v>5</v>
      </c>
      <c r="AF13" s="56"/>
      <c r="AG13" s="57"/>
    </row>
    <row r="14" spans="2:33" x14ac:dyDescent="0.25">
      <c r="B14" s="201"/>
      <c r="C14" s="53" t="s">
        <v>12</v>
      </c>
      <c r="D14" s="44">
        <v>100</v>
      </c>
      <c r="E14" s="22">
        <v>150</v>
      </c>
      <c r="F14" s="22">
        <v>75</v>
      </c>
      <c r="G14" s="22">
        <v>262</v>
      </c>
      <c r="H14" s="22">
        <v>272</v>
      </c>
      <c r="I14" s="22">
        <v>0</v>
      </c>
      <c r="J14" s="22"/>
      <c r="K14" s="22"/>
      <c r="L14" s="45">
        <v>134</v>
      </c>
      <c r="M14" s="46"/>
      <c r="N14" s="23"/>
      <c r="O14" s="19"/>
      <c r="P14" s="201"/>
      <c r="Q14" s="43" t="s">
        <v>12</v>
      </c>
      <c r="R14" s="22"/>
      <c r="S14" s="22"/>
      <c r="T14" s="22"/>
      <c r="U14" s="22"/>
      <c r="V14" s="22"/>
      <c r="W14" s="22"/>
      <c r="X14" s="22"/>
      <c r="Y14" s="22"/>
      <c r="Z14" s="22"/>
      <c r="AA14" s="22"/>
      <c r="AB14" s="54">
        <f>'Input data &amp; Output tariffs'!E11</f>
        <v>36500000</v>
      </c>
      <c r="AC14" s="40">
        <f t="shared" si="0"/>
        <v>0.42002301495972383</v>
      </c>
      <c r="AD14" s="49"/>
      <c r="AE14" s="25"/>
      <c r="AF14" s="26"/>
      <c r="AG14" s="27"/>
    </row>
    <row r="15" spans="2:33" x14ac:dyDescent="0.25">
      <c r="B15" s="201"/>
      <c r="C15" s="53" t="s">
        <v>14</v>
      </c>
      <c r="D15" s="44"/>
      <c r="E15" s="22"/>
      <c r="F15" s="22"/>
      <c r="G15" s="22"/>
      <c r="H15" s="22"/>
      <c r="I15" s="22"/>
      <c r="J15" s="22">
        <v>0</v>
      </c>
      <c r="K15" s="22">
        <v>161</v>
      </c>
      <c r="L15" s="22"/>
      <c r="M15" s="46">
        <v>134</v>
      </c>
      <c r="N15" s="23"/>
      <c r="O15" s="19"/>
      <c r="P15" s="201"/>
      <c r="Q15" s="43" t="s">
        <v>14</v>
      </c>
      <c r="R15" s="22"/>
      <c r="S15" s="22"/>
      <c r="T15" s="22"/>
      <c r="U15" s="22"/>
      <c r="V15" s="22"/>
      <c r="W15" s="22"/>
      <c r="X15" s="22"/>
      <c r="Y15" s="22"/>
      <c r="Z15" s="22"/>
      <c r="AA15" s="22"/>
      <c r="AB15" s="54">
        <f>'Input data &amp; Output tariffs'!E13</f>
        <v>21400000</v>
      </c>
      <c r="AC15" s="40">
        <f t="shared" si="0"/>
        <v>0.24626006904487918</v>
      </c>
      <c r="AD15" s="49"/>
      <c r="AE15" s="25" t="s">
        <v>6</v>
      </c>
      <c r="AF15" s="163">
        <f>(AF6-AF17)*AG8</f>
        <v>69976500</v>
      </c>
      <c r="AG15" s="164"/>
    </row>
    <row r="16" spans="2:33" x14ac:dyDescent="0.25">
      <c r="B16" s="201"/>
      <c r="C16" s="53" t="s">
        <v>13</v>
      </c>
      <c r="D16" s="44"/>
      <c r="E16" s="22"/>
      <c r="F16" s="22"/>
      <c r="G16" s="22"/>
      <c r="H16" s="22"/>
      <c r="I16" s="22"/>
      <c r="J16" s="22">
        <v>161</v>
      </c>
      <c r="K16" s="22">
        <v>0</v>
      </c>
      <c r="L16" s="22"/>
      <c r="M16" s="46">
        <v>134</v>
      </c>
      <c r="N16" s="23"/>
      <c r="O16" s="19"/>
      <c r="P16" s="201"/>
      <c r="Q16" s="43" t="s">
        <v>13</v>
      </c>
      <c r="R16" s="22"/>
      <c r="S16" s="22"/>
      <c r="T16" s="22"/>
      <c r="U16" s="22"/>
      <c r="V16" s="22"/>
      <c r="W16" s="22"/>
      <c r="X16" s="22"/>
      <c r="Y16" s="22"/>
      <c r="Z16" s="22"/>
      <c r="AA16" s="22"/>
      <c r="AB16" s="47">
        <v>0</v>
      </c>
      <c r="AC16" s="40">
        <f t="shared" si="0"/>
        <v>0</v>
      </c>
      <c r="AD16" s="49"/>
      <c r="AE16" s="25" t="s">
        <v>7</v>
      </c>
      <c r="AF16" s="163">
        <f>(AF6-AF17)*AG9</f>
        <v>142073499.99999997</v>
      </c>
      <c r="AG16" s="164"/>
    </row>
    <row r="17" spans="2:33" ht="14.25" thickBot="1" x14ac:dyDescent="0.3">
      <c r="B17" s="201"/>
      <c r="C17" s="53" t="s">
        <v>15</v>
      </c>
      <c r="D17" s="44">
        <v>134</v>
      </c>
      <c r="E17" s="22">
        <v>134</v>
      </c>
      <c r="F17" s="22">
        <v>134</v>
      </c>
      <c r="G17" s="22">
        <v>134</v>
      </c>
      <c r="H17" s="22">
        <v>134</v>
      </c>
      <c r="I17" s="22">
        <v>134</v>
      </c>
      <c r="J17" s="22"/>
      <c r="K17" s="22"/>
      <c r="L17" s="22">
        <v>0</v>
      </c>
      <c r="M17" s="46"/>
      <c r="N17" s="23"/>
      <c r="O17" s="19"/>
      <c r="P17" s="201"/>
      <c r="Q17" s="43" t="s">
        <v>15</v>
      </c>
      <c r="R17" s="22"/>
      <c r="S17" s="22"/>
      <c r="T17" s="22"/>
      <c r="U17" s="22"/>
      <c r="V17" s="22"/>
      <c r="W17" s="22"/>
      <c r="X17" s="22"/>
      <c r="Y17" s="22"/>
      <c r="Z17" s="22"/>
      <c r="AA17" s="22"/>
      <c r="AB17" s="48">
        <v>0</v>
      </c>
      <c r="AC17" s="40">
        <f t="shared" si="0"/>
        <v>0</v>
      </c>
      <c r="AD17" s="49"/>
      <c r="AE17" s="58" t="s">
        <v>60</v>
      </c>
      <c r="AF17" s="163">
        <f>AG20*AG21</f>
        <v>19800000</v>
      </c>
      <c r="AG17" s="164"/>
    </row>
    <row r="18" spans="2:33" x14ac:dyDescent="0.25">
      <c r="B18" s="202"/>
      <c r="C18" s="59" t="s">
        <v>16</v>
      </c>
      <c r="D18" s="60"/>
      <c r="E18" s="61"/>
      <c r="F18" s="61"/>
      <c r="G18" s="61"/>
      <c r="H18" s="61"/>
      <c r="I18" s="61"/>
      <c r="J18" s="61">
        <v>134</v>
      </c>
      <c r="K18" s="61">
        <v>134</v>
      </c>
      <c r="L18" s="61"/>
      <c r="M18" s="62">
        <v>0</v>
      </c>
      <c r="N18" s="23"/>
      <c r="O18" s="19"/>
      <c r="P18" s="202"/>
      <c r="Q18" s="59" t="s">
        <v>16</v>
      </c>
      <c r="R18" s="22"/>
      <c r="S18" s="22"/>
      <c r="T18" s="22"/>
      <c r="U18" s="22"/>
      <c r="V18" s="22"/>
      <c r="W18" s="22"/>
      <c r="X18" s="22"/>
      <c r="Y18" s="22"/>
      <c r="Z18" s="22"/>
      <c r="AA18" s="22"/>
      <c r="AB18" s="54">
        <v>0</v>
      </c>
      <c r="AC18" s="40">
        <f t="shared" si="0"/>
        <v>0</v>
      </c>
      <c r="AD18" s="14"/>
      <c r="AE18" s="63"/>
      <c r="AF18" s="63"/>
      <c r="AG18" s="63"/>
    </row>
    <row r="19" spans="2:33" x14ac:dyDescent="0.25">
      <c r="B19" s="64"/>
      <c r="C19" s="22"/>
      <c r="D19" s="22"/>
      <c r="E19" s="22"/>
      <c r="F19" s="22"/>
      <c r="G19" s="22"/>
      <c r="H19" s="22"/>
      <c r="I19" s="22"/>
      <c r="J19" s="22"/>
      <c r="K19" s="22"/>
      <c r="L19" s="22"/>
      <c r="M19" s="22"/>
      <c r="N19" s="23"/>
      <c r="O19" s="19"/>
      <c r="P19" s="64"/>
      <c r="Q19" s="43" t="s">
        <v>62</v>
      </c>
      <c r="R19" s="65"/>
      <c r="S19" s="66"/>
      <c r="T19" s="66"/>
      <c r="U19" s="66"/>
      <c r="V19" s="66"/>
      <c r="W19" s="66"/>
      <c r="X19" s="66"/>
      <c r="Y19" s="66"/>
      <c r="Z19" s="66"/>
      <c r="AA19" s="66"/>
      <c r="AB19" s="67">
        <f>'Input data &amp; Output tariffs'!E12</f>
        <v>3400000</v>
      </c>
      <c r="AC19" s="40"/>
      <c r="AD19" s="14"/>
      <c r="AE19" s="68"/>
      <c r="AF19" s="68"/>
      <c r="AG19" s="68"/>
    </row>
    <row r="20" spans="2:33" ht="14.25" thickBot="1" x14ac:dyDescent="0.3">
      <c r="B20" s="69"/>
      <c r="C20" s="6"/>
      <c r="D20" s="6"/>
      <c r="E20" s="6"/>
      <c r="F20" s="6"/>
      <c r="G20" s="6"/>
      <c r="H20" s="6"/>
      <c r="I20" s="6"/>
      <c r="J20" s="6"/>
      <c r="K20" s="6"/>
      <c r="L20" s="6"/>
      <c r="M20" s="6"/>
      <c r="N20" s="70"/>
      <c r="O20" s="19"/>
      <c r="P20" s="69"/>
      <c r="Q20" s="71" t="s">
        <v>0</v>
      </c>
      <c r="R20" s="72">
        <v>1E-13</v>
      </c>
      <c r="S20" s="73">
        <f>'Input data &amp; Output tariffs'!E19</f>
        <v>24900000</v>
      </c>
      <c r="T20" s="73">
        <f>'Input data &amp; Output tariffs'!E20</f>
        <v>3300000</v>
      </c>
      <c r="U20" s="73">
        <v>1.0000000000000001E-15</v>
      </c>
      <c r="V20" s="73">
        <f>'Input data &amp; Output tariffs'!E21</f>
        <v>4700000</v>
      </c>
      <c r="W20" s="73">
        <f>'Input data &amp; Output tariffs'!E22</f>
        <v>7200000</v>
      </c>
      <c r="X20" s="73">
        <v>9.9999999999999998E-20</v>
      </c>
      <c r="Y20" s="73">
        <f>'Input data &amp; Output tariffs'!E23</f>
        <v>11500000</v>
      </c>
      <c r="Z20" s="73">
        <f>'Input data &amp; Output tariffs'!E24</f>
        <v>56300000</v>
      </c>
      <c r="AA20" s="74">
        <f>'Input data &amp; Output tariffs'!E25</f>
        <v>17400000</v>
      </c>
      <c r="AB20" s="75"/>
      <c r="AC20" s="70"/>
      <c r="AD20" s="14"/>
      <c r="AE20" s="76" t="s">
        <v>96</v>
      </c>
      <c r="AF20" s="76"/>
      <c r="AG20" s="76">
        <f>IF('Input data &amp; Output tariffs'!E29=0,0.1,'Input data &amp; Output tariffs'!E29)</f>
        <v>17700000</v>
      </c>
    </row>
    <row r="21" spans="2:33" ht="15.6" customHeight="1" thickBot="1" x14ac:dyDescent="0.3">
      <c r="B21" s="19"/>
      <c r="C21" s="19"/>
      <c r="D21" s="19"/>
      <c r="E21" s="19"/>
      <c r="F21" s="19"/>
      <c r="G21" s="19"/>
      <c r="H21" s="19"/>
      <c r="I21" s="19"/>
      <c r="J21" s="19"/>
      <c r="K21" s="19"/>
      <c r="L21" s="19"/>
      <c r="M21" s="19"/>
      <c r="N21" s="19"/>
      <c r="O21" s="19"/>
      <c r="P21" s="19"/>
      <c r="Q21" s="19"/>
      <c r="R21" s="77">
        <f>R20/SUM($R$20:$AA$20)</f>
        <v>7.9808459696727854E-22</v>
      </c>
      <c r="S21" s="77">
        <f t="shared" ref="S21:AA21" si="1">S20/SUM($R$20:$AA$20)</f>
        <v>0.19872306464485234</v>
      </c>
      <c r="T21" s="77">
        <f t="shared" si="1"/>
        <v>2.6336791699920193E-2</v>
      </c>
      <c r="U21" s="77">
        <f t="shared" si="1"/>
        <v>7.9808459696727863E-24</v>
      </c>
      <c r="V21" s="77">
        <f t="shared" si="1"/>
        <v>3.7509976057462091E-2</v>
      </c>
      <c r="W21" s="77">
        <f t="shared" si="1"/>
        <v>5.7462090981644051E-2</v>
      </c>
      <c r="X21" s="77">
        <f t="shared" si="1"/>
        <v>7.9808459696727852E-28</v>
      </c>
      <c r="Y21" s="77">
        <f t="shared" si="1"/>
        <v>9.1779728651237028E-2</v>
      </c>
      <c r="Z21" s="77">
        <f t="shared" si="1"/>
        <v>0.44932162809257781</v>
      </c>
      <c r="AA21" s="77">
        <f t="shared" si="1"/>
        <v>0.13886671987230648</v>
      </c>
      <c r="AB21" s="19"/>
      <c r="AC21" s="19"/>
      <c r="AE21" s="76" t="s">
        <v>76</v>
      </c>
      <c r="AF21" s="76"/>
      <c r="AG21" s="78">
        <f>1.11864406779661*AF6/231850000</f>
        <v>1.1186440677966101</v>
      </c>
    </row>
    <row r="22" spans="2:33" ht="5.25" customHeight="1" x14ac:dyDescent="0.25">
      <c r="B22" s="79"/>
      <c r="C22" s="80"/>
      <c r="D22" s="80"/>
      <c r="E22" s="80"/>
      <c r="F22" s="80"/>
      <c r="G22" s="80"/>
      <c r="H22" s="80"/>
      <c r="I22" s="80"/>
      <c r="J22" s="80"/>
      <c r="K22" s="80"/>
      <c r="L22" s="80"/>
      <c r="M22" s="80"/>
      <c r="N22" s="81"/>
      <c r="O22" s="19"/>
      <c r="P22" s="79"/>
      <c r="Q22" s="80"/>
      <c r="R22" s="80"/>
      <c r="S22" s="80"/>
      <c r="T22" s="80"/>
      <c r="U22" s="80"/>
      <c r="V22" s="80"/>
      <c r="W22" s="80"/>
      <c r="X22" s="80"/>
      <c r="Y22" s="80"/>
      <c r="Z22" s="80"/>
      <c r="AA22" s="80"/>
      <c r="AB22" s="80"/>
      <c r="AC22" s="81"/>
      <c r="AE22" s="76"/>
      <c r="AF22" s="76"/>
      <c r="AG22" s="76"/>
    </row>
    <row r="23" spans="2:33" x14ac:dyDescent="0.25">
      <c r="B23" s="16" t="s">
        <v>19</v>
      </c>
      <c r="C23" s="17"/>
      <c r="D23" s="17"/>
      <c r="E23" s="17"/>
      <c r="F23" s="17"/>
      <c r="G23" s="17"/>
      <c r="H23" s="17"/>
      <c r="I23" s="17"/>
      <c r="J23" s="17"/>
      <c r="K23" s="17"/>
      <c r="L23" s="17"/>
      <c r="M23" s="17"/>
      <c r="N23" s="18"/>
      <c r="O23" s="19"/>
      <c r="P23" s="16" t="s">
        <v>18</v>
      </c>
      <c r="Q23" s="17"/>
      <c r="R23" s="17"/>
      <c r="S23" s="17"/>
      <c r="T23" s="17"/>
      <c r="U23" s="17"/>
      <c r="V23" s="17"/>
      <c r="W23" s="17"/>
      <c r="X23" s="17"/>
      <c r="Y23" s="17"/>
      <c r="Z23" s="17"/>
      <c r="AA23" s="17"/>
      <c r="AB23" s="17"/>
      <c r="AC23" s="18"/>
      <c r="AE23" s="76"/>
      <c r="AF23" s="76"/>
      <c r="AG23" s="78"/>
    </row>
    <row r="24" spans="2:33" x14ac:dyDescent="0.25">
      <c r="B24" s="21"/>
      <c r="C24" s="22"/>
      <c r="D24" s="182" t="s">
        <v>1</v>
      </c>
      <c r="E24" s="183"/>
      <c r="F24" s="183"/>
      <c r="G24" s="183"/>
      <c r="H24" s="183"/>
      <c r="I24" s="183"/>
      <c r="J24" s="183"/>
      <c r="K24" s="183"/>
      <c r="L24" s="183"/>
      <c r="M24" s="184"/>
      <c r="N24" s="82">
        <f>SUMPRODUCT(N26:N35,AB9:AB18)/SUM(AB9:AB18)</f>
        <v>141.32235960966267</v>
      </c>
      <c r="O24" s="19"/>
      <c r="P24" s="21"/>
      <c r="Q24" s="22"/>
      <c r="R24" s="182" t="s">
        <v>1</v>
      </c>
      <c r="S24" s="183"/>
      <c r="T24" s="183"/>
      <c r="U24" s="183"/>
      <c r="V24" s="183"/>
      <c r="W24" s="183"/>
      <c r="X24" s="183"/>
      <c r="Y24" s="183"/>
      <c r="Z24" s="183"/>
      <c r="AA24" s="184"/>
      <c r="AB24" s="83"/>
      <c r="AC24" s="23"/>
      <c r="AE24" s="76"/>
      <c r="AF24" s="76"/>
      <c r="AG24" s="78"/>
    </row>
    <row r="25" spans="2:33" x14ac:dyDescent="0.25">
      <c r="B25" s="21"/>
      <c r="C25" s="28" t="s">
        <v>3</v>
      </c>
      <c r="D25" s="29" t="s">
        <v>28</v>
      </c>
      <c r="E25" s="30" t="s">
        <v>29</v>
      </c>
      <c r="F25" s="30" t="s">
        <v>32</v>
      </c>
      <c r="G25" s="30" t="s">
        <v>31</v>
      </c>
      <c r="H25" s="30" t="s">
        <v>11</v>
      </c>
      <c r="I25" s="30" t="s">
        <v>12</v>
      </c>
      <c r="J25" s="30" t="s">
        <v>14</v>
      </c>
      <c r="K25" s="30" t="s">
        <v>13</v>
      </c>
      <c r="L25" s="30" t="s">
        <v>15</v>
      </c>
      <c r="M25" s="31" t="s">
        <v>16</v>
      </c>
      <c r="N25" s="84" t="s">
        <v>0</v>
      </c>
      <c r="O25" s="19"/>
      <c r="P25" s="21"/>
      <c r="Q25" s="28" t="s">
        <v>22</v>
      </c>
      <c r="R25" s="29" t="s">
        <v>28</v>
      </c>
      <c r="S25" s="30" t="s">
        <v>29</v>
      </c>
      <c r="T25" s="30" t="s">
        <v>32</v>
      </c>
      <c r="U25" s="30" t="s">
        <v>31</v>
      </c>
      <c r="V25" s="30" t="s">
        <v>11</v>
      </c>
      <c r="W25" s="30" t="s">
        <v>12</v>
      </c>
      <c r="X25" s="30" t="s">
        <v>14</v>
      </c>
      <c r="Y25" s="30" t="s">
        <v>13</v>
      </c>
      <c r="Z25" s="30" t="s">
        <v>15</v>
      </c>
      <c r="AA25" s="31" t="s">
        <v>16</v>
      </c>
      <c r="AB25" s="185" t="s">
        <v>25</v>
      </c>
      <c r="AC25" s="199"/>
    </row>
    <row r="26" spans="2:33" x14ac:dyDescent="0.25">
      <c r="B26" s="200" t="s">
        <v>2</v>
      </c>
      <c r="C26" s="34" t="s">
        <v>28</v>
      </c>
      <c r="D26" s="22"/>
      <c r="E26" s="22"/>
      <c r="F26" s="22"/>
      <c r="G26" s="22"/>
      <c r="H26" s="22"/>
      <c r="I26" s="22"/>
      <c r="J26" s="22"/>
      <c r="K26" s="22"/>
      <c r="L26" s="22"/>
      <c r="M26" s="22"/>
      <c r="N26" s="85">
        <f t="shared" ref="N26:N31" si="2">(SUMPRODUCT(D9:I9,$R$20:$W$20)+L9*$Z$20)/(SUM($R$20:$W$20)+$Z$20)</f>
        <v>157.02385892116183</v>
      </c>
      <c r="O26" s="19"/>
      <c r="P26" s="200" t="s">
        <v>2</v>
      </c>
      <c r="Q26" s="34" t="s">
        <v>28</v>
      </c>
      <c r="R26" s="22"/>
      <c r="S26" s="22"/>
      <c r="T26" s="22"/>
      <c r="U26" s="22"/>
      <c r="V26" s="22"/>
      <c r="W26" s="22"/>
      <c r="X26" s="22"/>
      <c r="Y26" s="22"/>
      <c r="Z26" s="22"/>
      <c r="AA26" s="22"/>
      <c r="AB26" s="39">
        <f t="shared" ref="AB26:AB35" si="3">$N$24*AB9</f>
        <v>282644719.21932536</v>
      </c>
      <c r="AC26" s="86">
        <f t="shared" ref="AC26:AC35" si="4">AB26/SUM($AB$26:$AB$35)</f>
        <v>2.3014959723820488E-2</v>
      </c>
      <c r="AE26" s="76"/>
      <c r="AF26" s="10"/>
      <c r="AG26" s="87"/>
    </row>
    <row r="27" spans="2:33" x14ac:dyDescent="0.25">
      <c r="B27" s="201"/>
      <c r="C27" s="43" t="s">
        <v>29</v>
      </c>
      <c r="D27" s="22"/>
      <c r="E27" s="22"/>
      <c r="F27" s="22"/>
      <c r="G27" s="22"/>
      <c r="H27" s="22"/>
      <c r="I27" s="22"/>
      <c r="J27" s="22"/>
      <c r="K27" s="22"/>
      <c r="L27" s="22"/>
      <c r="M27" s="22"/>
      <c r="N27" s="88">
        <f t="shared" si="2"/>
        <v>104.7655601659751</v>
      </c>
      <c r="O27" s="19"/>
      <c r="P27" s="201"/>
      <c r="Q27" s="43" t="s">
        <v>29</v>
      </c>
      <c r="R27" s="22"/>
      <c r="S27" s="22"/>
      <c r="T27" s="22"/>
      <c r="U27" s="22"/>
      <c r="V27" s="22"/>
      <c r="W27" s="22"/>
      <c r="X27" s="22"/>
      <c r="Y27" s="22"/>
      <c r="Z27" s="22"/>
      <c r="AA27" s="22"/>
      <c r="AB27" s="47">
        <f t="shared" si="3"/>
        <v>141322359.60966268</v>
      </c>
      <c r="AC27" s="89">
        <f t="shared" si="4"/>
        <v>1.1507479861910244E-2</v>
      </c>
      <c r="AE27" s="26"/>
      <c r="AF27" s="14"/>
      <c r="AG27" s="14"/>
    </row>
    <row r="28" spans="2:33" x14ac:dyDescent="0.25">
      <c r="B28" s="201"/>
      <c r="C28" s="43" t="s">
        <v>30</v>
      </c>
      <c r="D28" s="22"/>
      <c r="E28" s="22"/>
      <c r="F28" s="22"/>
      <c r="G28" s="22"/>
      <c r="H28" s="22"/>
      <c r="I28" s="22"/>
      <c r="J28" s="22"/>
      <c r="K28" s="22"/>
      <c r="L28" s="22"/>
      <c r="M28" s="22"/>
      <c r="N28" s="88">
        <f t="shared" si="2"/>
        <v>140.03319502074689</v>
      </c>
      <c r="O28" s="19"/>
      <c r="P28" s="201"/>
      <c r="Q28" s="43" t="s">
        <v>30</v>
      </c>
      <c r="R28" s="22"/>
      <c r="S28" s="22"/>
      <c r="T28" s="22"/>
      <c r="U28" s="22"/>
      <c r="V28" s="22"/>
      <c r="W28" s="22"/>
      <c r="X28" s="22"/>
      <c r="Y28" s="22"/>
      <c r="Z28" s="22"/>
      <c r="AA28" s="22"/>
      <c r="AB28" s="47">
        <f t="shared" si="3"/>
        <v>579421674.39961684</v>
      </c>
      <c r="AC28" s="89">
        <f t="shared" si="4"/>
        <v>4.7180667433831987E-2</v>
      </c>
      <c r="AE28" s="14"/>
      <c r="AF28" s="26"/>
      <c r="AG28" s="14"/>
    </row>
    <row r="29" spans="2:33" x14ac:dyDescent="0.25">
      <c r="B29" s="201"/>
      <c r="C29" s="43" t="s">
        <v>31</v>
      </c>
      <c r="D29" s="22"/>
      <c r="E29" s="22"/>
      <c r="F29" s="22"/>
      <c r="G29" s="22"/>
      <c r="H29" s="22"/>
      <c r="I29" s="22"/>
      <c r="J29" s="22"/>
      <c r="K29" s="22"/>
      <c r="L29" s="22"/>
      <c r="M29" s="22"/>
      <c r="N29" s="88">
        <f t="shared" si="2"/>
        <v>149.51348547717842</v>
      </c>
      <c r="O29" s="19"/>
      <c r="P29" s="201"/>
      <c r="Q29" s="43" t="s">
        <v>31</v>
      </c>
      <c r="R29" s="22"/>
      <c r="S29" s="22"/>
      <c r="T29" s="22"/>
      <c r="U29" s="22"/>
      <c r="V29" s="22"/>
      <c r="W29" s="22"/>
      <c r="X29" s="22"/>
      <c r="Y29" s="22"/>
      <c r="Z29" s="22"/>
      <c r="AA29" s="22"/>
      <c r="AB29" s="47">
        <f t="shared" si="3"/>
        <v>1526281483.7843568</v>
      </c>
      <c r="AC29" s="89">
        <f t="shared" si="4"/>
        <v>0.12428078250863062</v>
      </c>
      <c r="AE29" s="14"/>
      <c r="AF29" s="26"/>
      <c r="AG29" s="14"/>
    </row>
    <row r="30" spans="2:33" x14ac:dyDescent="0.25">
      <c r="B30" s="201"/>
      <c r="C30" s="53" t="s">
        <v>11</v>
      </c>
      <c r="D30" s="22"/>
      <c r="E30" s="22"/>
      <c r="F30" s="22"/>
      <c r="G30" s="22"/>
      <c r="H30" s="22"/>
      <c r="I30" s="22"/>
      <c r="J30" s="22"/>
      <c r="K30" s="22"/>
      <c r="L30" s="22"/>
      <c r="M30" s="22"/>
      <c r="N30" s="88">
        <f t="shared" si="2"/>
        <v>155.61203319502076</v>
      </c>
      <c r="O30" s="19"/>
      <c r="P30" s="201"/>
      <c r="Q30" s="53" t="s">
        <v>11</v>
      </c>
      <c r="R30" s="22"/>
      <c r="S30" s="22"/>
      <c r="T30" s="22"/>
      <c r="U30" s="22"/>
      <c r="V30" s="22"/>
      <c r="W30" s="22"/>
      <c r="X30" s="22"/>
      <c r="Y30" s="22"/>
      <c r="Z30" s="22"/>
      <c r="AA30" s="22"/>
      <c r="AB30" s="47">
        <f t="shared" si="3"/>
        <v>1568678191.6672556</v>
      </c>
      <c r="AC30" s="89">
        <f t="shared" si="4"/>
        <v>0.12773302646720369</v>
      </c>
      <c r="AE30" s="14"/>
      <c r="AF30" s="26"/>
      <c r="AG30" s="14"/>
    </row>
    <row r="31" spans="2:33" x14ac:dyDescent="0.25">
      <c r="B31" s="201"/>
      <c r="C31" s="53" t="s">
        <v>12</v>
      </c>
      <c r="D31" s="22"/>
      <c r="E31" s="22"/>
      <c r="F31" s="22"/>
      <c r="G31" s="22"/>
      <c r="H31" s="22"/>
      <c r="I31" s="22"/>
      <c r="J31" s="22"/>
      <c r="K31" s="22"/>
      <c r="L31" s="22"/>
      <c r="M31" s="22"/>
      <c r="N31" s="88">
        <f t="shared" si="2"/>
        <v>132.83298755186723</v>
      </c>
      <c r="O31" s="19"/>
      <c r="P31" s="201"/>
      <c r="Q31" s="53" t="s">
        <v>12</v>
      </c>
      <c r="R31" s="22"/>
      <c r="S31" s="22"/>
      <c r="T31" s="22"/>
      <c r="U31" s="22"/>
      <c r="V31" s="22"/>
      <c r="W31" s="22"/>
      <c r="X31" s="22"/>
      <c r="Y31" s="22"/>
      <c r="Z31" s="22"/>
      <c r="AA31" s="22"/>
      <c r="AB31" s="47">
        <f t="shared" si="3"/>
        <v>5158266125.7526875</v>
      </c>
      <c r="AC31" s="89">
        <f t="shared" si="4"/>
        <v>0.42002301495972383</v>
      </c>
      <c r="AE31" s="14"/>
      <c r="AF31" s="26"/>
      <c r="AG31" s="14"/>
    </row>
    <row r="32" spans="2:33" x14ac:dyDescent="0.25">
      <c r="B32" s="201"/>
      <c r="C32" s="53" t="s">
        <v>14</v>
      </c>
      <c r="D32" s="22"/>
      <c r="E32" s="22"/>
      <c r="F32" s="22"/>
      <c r="G32" s="22"/>
      <c r="H32" s="22"/>
      <c r="I32" s="22"/>
      <c r="J32" s="22"/>
      <c r="K32" s="22"/>
      <c r="L32" s="22"/>
      <c r="M32" s="22"/>
      <c r="N32" s="88">
        <f>(SUMPRODUCT(K15,$Y$20)+M15*$AA$20)/(SUM($Y$20)+$AA$20)</f>
        <v>144.74394463667821</v>
      </c>
      <c r="O32" s="19"/>
      <c r="P32" s="201"/>
      <c r="Q32" s="53" t="s">
        <v>14</v>
      </c>
      <c r="R32" s="22"/>
      <c r="S32" s="22"/>
      <c r="T32" s="22"/>
      <c r="U32" s="22"/>
      <c r="V32" s="22"/>
      <c r="W32" s="22"/>
      <c r="X32" s="22"/>
      <c r="Y32" s="22"/>
      <c r="Z32" s="22"/>
      <c r="AA32" s="22"/>
      <c r="AB32" s="47">
        <f t="shared" si="3"/>
        <v>3024298495.646781</v>
      </c>
      <c r="AC32" s="89">
        <f t="shared" si="4"/>
        <v>0.24626006904487918</v>
      </c>
      <c r="AE32" s="14"/>
      <c r="AF32" s="26"/>
      <c r="AG32" s="14"/>
    </row>
    <row r="33" spans="2:41" x14ac:dyDescent="0.25">
      <c r="B33" s="201"/>
      <c r="C33" s="53" t="s">
        <v>13</v>
      </c>
      <c r="D33" s="22"/>
      <c r="E33" s="22"/>
      <c r="F33" s="22"/>
      <c r="G33" s="22"/>
      <c r="H33" s="22"/>
      <c r="I33" s="22"/>
      <c r="J33" s="22"/>
      <c r="K33" s="22"/>
      <c r="L33" s="22"/>
      <c r="M33" s="22"/>
      <c r="N33" s="88">
        <f>(SUMPRODUCT(K16,$Y$20)+M16*$AA$20)/(SUM($Y$20)+$AA$20)</f>
        <v>80.678200692041528</v>
      </c>
      <c r="O33" s="19"/>
      <c r="P33" s="201"/>
      <c r="Q33" s="53" t="s">
        <v>13</v>
      </c>
      <c r="R33" s="22"/>
      <c r="S33" s="22"/>
      <c r="T33" s="22"/>
      <c r="U33" s="22"/>
      <c r="V33" s="22"/>
      <c r="W33" s="22"/>
      <c r="X33" s="22"/>
      <c r="Y33" s="22"/>
      <c r="Z33" s="22"/>
      <c r="AA33" s="22"/>
      <c r="AB33" s="47">
        <f t="shared" si="3"/>
        <v>0</v>
      </c>
      <c r="AC33" s="89">
        <f t="shared" si="4"/>
        <v>0</v>
      </c>
      <c r="AE33" s="14"/>
      <c r="AF33" s="26"/>
      <c r="AG33" s="14"/>
    </row>
    <row r="34" spans="2:41" x14ac:dyDescent="0.25">
      <c r="B34" s="201"/>
      <c r="C34" s="43" t="s">
        <v>15</v>
      </c>
      <c r="D34" s="22"/>
      <c r="E34" s="22"/>
      <c r="F34" s="22"/>
      <c r="G34" s="22"/>
      <c r="H34" s="22"/>
      <c r="I34" s="22"/>
      <c r="J34" s="22"/>
      <c r="K34" s="22"/>
      <c r="L34" s="22"/>
      <c r="M34" s="22"/>
      <c r="N34" s="88">
        <f>(SUMPRODUCT(D17:I17,$R$20:$W$20)+L17*$Z$20)/(SUM($R$20:$W$20)+$Z$20)</f>
        <v>55.740663900414937</v>
      </c>
      <c r="O34" s="19"/>
      <c r="P34" s="201"/>
      <c r="Q34" s="43" t="s">
        <v>15</v>
      </c>
      <c r="R34" s="22"/>
      <c r="S34" s="22"/>
      <c r="T34" s="22"/>
      <c r="U34" s="22"/>
      <c r="V34" s="22"/>
      <c r="W34" s="22"/>
      <c r="X34" s="22"/>
      <c r="Y34" s="22"/>
      <c r="Z34" s="22"/>
      <c r="AA34" s="22"/>
      <c r="AB34" s="47">
        <f t="shared" si="3"/>
        <v>0</v>
      </c>
      <c r="AC34" s="89">
        <f t="shared" si="4"/>
        <v>0</v>
      </c>
      <c r="AE34" s="14"/>
      <c r="AF34" s="26"/>
      <c r="AG34" s="14"/>
    </row>
    <row r="35" spans="2:41" x14ac:dyDescent="0.25">
      <c r="B35" s="202"/>
      <c r="C35" s="59" t="s">
        <v>16</v>
      </c>
      <c r="D35" s="22"/>
      <c r="E35" s="22"/>
      <c r="F35" s="22"/>
      <c r="G35" s="22"/>
      <c r="H35" s="22"/>
      <c r="I35" s="22"/>
      <c r="J35" s="22"/>
      <c r="K35" s="22"/>
      <c r="L35" s="22"/>
      <c r="M35" s="22"/>
      <c r="N35" s="90">
        <f>(SUMPRODUCT(K18,$Y$20)+M18*$AA$20)/(SUM($Y$20)+$AA$20)</f>
        <v>53.321799307958479</v>
      </c>
      <c r="O35" s="19"/>
      <c r="P35" s="202"/>
      <c r="Q35" s="59" t="s">
        <v>16</v>
      </c>
      <c r="R35" s="22"/>
      <c r="S35" s="22"/>
      <c r="T35" s="22"/>
      <c r="U35" s="22"/>
      <c r="V35" s="22"/>
      <c r="W35" s="22"/>
      <c r="X35" s="22"/>
      <c r="Y35" s="22"/>
      <c r="Z35" s="22"/>
      <c r="AA35" s="22"/>
      <c r="AB35" s="91">
        <f t="shared" si="3"/>
        <v>0</v>
      </c>
      <c r="AC35" s="92">
        <f t="shared" si="4"/>
        <v>0</v>
      </c>
      <c r="AE35" s="14"/>
      <c r="AF35" s="26"/>
      <c r="AG35" s="14"/>
    </row>
    <row r="36" spans="2:41" x14ac:dyDescent="0.25">
      <c r="B36" s="21"/>
      <c r="C36" s="28" t="s">
        <v>0</v>
      </c>
      <c r="D36" s="93">
        <f t="shared" ref="D36:I36" si="5">SUMPRODUCT(D9:D14,$AB$9:$AB$14)/SUM($AB$9:$AB$14)</f>
        <v>171.98931297709925</v>
      </c>
      <c r="E36" s="94">
        <f t="shared" si="5"/>
        <v>160.22290076335878</v>
      </c>
      <c r="F36" s="94">
        <f t="shared" si="5"/>
        <v>121.55725190839695</v>
      </c>
      <c r="G36" s="94">
        <f t="shared" si="5"/>
        <v>177.43511450381681</v>
      </c>
      <c r="H36" s="94">
        <f t="shared" si="5"/>
        <v>184.17557251908397</v>
      </c>
      <c r="I36" s="94">
        <f t="shared" si="5"/>
        <v>99.332824427480915</v>
      </c>
      <c r="J36" s="94">
        <f>(SUMPRODUCT(J15:J16,$AB$15:$AB$16)+J18*$AB$18)/SUM($AB$15:$AB$16,$AB$18)</f>
        <v>0</v>
      </c>
      <c r="K36" s="94">
        <f>(SUMPRODUCT(K15:K16,$AB$15:$AB$16)+K18*$AB$18)/SUM($AB$15:$AB$16,$AB$18)</f>
        <v>161</v>
      </c>
      <c r="L36" s="94">
        <f>SUMPRODUCT(L9:L14,$AB$9:$AB$14)/SUM($AB$9:$AB$14)</f>
        <v>134</v>
      </c>
      <c r="M36" s="95">
        <f>(SUMPRODUCT(M15:M16,$AB$15:$AB$16)+M18*$AB$18)/SUM($AB$15:$AB$16,$AB$18)</f>
        <v>134</v>
      </c>
      <c r="N36" s="23"/>
      <c r="O36" s="19"/>
      <c r="P36" s="21"/>
      <c r="Q36" s="188" t="s">
        <v>25</v>
      </c>
      <c r="R36" s="96">
        <f t="shared" ref="R36:AA36" si="6">D36*R20</f>
        <v>1.7198931297709924E-11</v>
      </c>
      <c r="S36" s="97">
        <f t="shared" si="6"/>
        <v>3989550229.0076337</v>
      </c>
      <c r="T36" s="97">
        <f t="shared" si="6"/>
        <v>401138931.29770994</v>
      </c>
      <c r="U36" s="97">
        <f t="shared" si="6"/>
        <v>1.7743511450381682E-13</v>
      </c>
      <c r="V36" s="97">
        <f t="shared" si="6"/>
        <v>865625190.83969462</v>
      </c>
      <c r="W36" s="97">
        <f t="shared" si="6"/>
        <v>715196335.87786257</v>
      </c>
      <c r="X36" s="97">
        <f t="shared" si="6"/>
        <v>0</v>
      </c>
      <c r="Y36" s="97">
        <f t="shared" si="6"/>
        <v>1851500000</v>
      </c>
      <c r="Z36" s="97">
        <f t="shared" si="6"/>
        <v>7544200000</v>
      </c>
      <c r="AA36" s="98">
        <f t="shared" si="6"/>
        <v>2331600000</v>
      </c>
      <c r="AB36" s="22"/>
      <c r="AC36" s="23"/>
    </row>
    <row r="37" spans="2:41" ht="14.25" thickBot="1" x14ac:dyDescent="0.3">
      <c r="B37" s="69"/>
      <c r="C37" s="6"/>
      <c r="D37" s="6"/>
      <c r="E37" s="6"/>
      <c r="F37" s="6"/>
      <c r="G37" s="6"/>
      <c r="H37" s="6"/>
      <c r="I37" s="6"/>
      <c r="J37" s="6"/>
      <c r="K37" s="6"/>
      <c r="L37" s="6"/>
      <c r="M37" s="6"/>
      <c r="N37" s="70"/>
      <c r="O37" s="19"/>
      <c r="P37" s="69"/>
      <c r="Q37" s="189"/>
      <c r="R37" s="99">
        <f>R36/SUM($R$36:$AA$36)</f>
        <v>9.7175632882047262E-22</v>
      </c>
      <c r="S37" s="100">
        <f t="shared" ref="S37:AA37" si="7">S36/SUM($R$36:$AA$36)</f>
        <v>0.22541346419015862</v>
      </c>
      <c r="T37" s="100">
        <f t="shared" si="7"/>
        <v>2.2664739365331053E-2</v>
      </c>
      <c r="U37" s="100">
        <f t="shared" si="7"/>
        <v>1.0025256365610799E-23</v>
      </c>
      <c r="V37" s="100">
        <f t="shared" si="7"/>
        <v>4.8908664324794834E-2</v>
      </c>
      <c r="W37" s="100">
        <f t="shared" si="7"/>
        <v>4.0409287862616543E-2</v>
      </c>
      <c r="X37" s="100">
        <f t="shared" si="7"/>
        <v>0</v>
      </c>
      <c r="Y37" s="100">
        <f t="shared" si="7"/>
        <v>0.10461154891936067</v>
      </c>
      <c r="Z37" s="100">
        <f t="shared" si="7"/>
        <v>0.42625462995270907</v>
      </c>
      <c r="AA37" s="101">
        <f t="shared" si="7"/>
        <v>0.1317376653850291</v>
      </c>
      <c r="AB37" s="102"/>
      <c r="AC37" s="70"/>
    </row>
    <row r="38" spans="2:41" ht="9" customHeight="1" thickBot="1" x14ac:dyDescent="0.3">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spans="2:41" ht="5.25" customHeight="1" x14ac:dyDescent="0.25">
      <c r="B39" s="79"/>
      <c r="C39" s="80"/>
      <c r="D39" s="80"/>
      <c r="E39" s="80"/>
      <c r="F39" s="80"/>
      <c r="G39" s="80"/>
      <c r="H39" s="80"/>
      <c r="I39" s="80"/>
      <c r="J39" s="80"/>
      <c r="K39" s="80"/>
      <c r="L39" s="80"/>
      <c r="M39" s="80"/>
      <c r="N39" s="81"/>
      <c r="O39" s="19"/>
      <c r="P39" s="79"/>
      <c r="Q39" s="80"/>
      <c r="R39" s="80"/>
      <c r="S39" s="80"/>
      <c r="T39" s="80"/>
      <c r="U39" s="80"/>
      <c r="V39" s="80"/>
      <c r="W39" s="80"/>
      <c r="X39" s="80"/>
      <c r="Y39" s="80"/>
      <c r="Z39" s="80"/>
      <c r="AA39" s="80"/>
      <c r="AB39" s="80"/>
      <c r="AC39" s="81"/>
      <c r="AF39" s="103"/>
      <c r="AG39" s="103"/>
      <c r="AH39" s="104"/>
      <c r="AI39" s="104"/>
      <c r="AJ39" s="104"/>
      <c r="AK39" s="104"/>
      <c r="AL39" s="104"/>
      <c r="AM39" s="105"/>
      <c r="AN39" s="104"/>
      <c r="AO39" s="104"/>
    </row>
    <row r="40" spans="2:41" x14ac:dyDescent="0.25">
      <c r="B40" s="16" t="s">
        <v>40</v>
      </c>
      <c r="C40" s="17"/>
      <c r="D40" s="17"/>
      <c r="E40" s="17"/>
      <c r="F40" s="17"/>
      <c r="G40" s="17"/>
      <c r="H40" s="17"/>
      <c r="I40" s="17"/>
      <c r="J40" s="17"/>
      <c r="K40" s="17"/>
      <c r="L40" s="17"/>
      <c r="M40" s="17"/>
      <c r="N40" s="18"/>
      <c r="O40" s="19"/>
      <c r="P40" s="16" t="s">
        <v>17</v>
      </c>
      <c r="Q40" s="17"/>
      <c r="R40" s="17"/>
      <c r="S40" s="17"/>
      <c r="T40" s="17"/>
      <c r="U40" s="17"/>
      <c r="V40" s="17"/>
      <c r="W40" s="17"/>
      <c r="X40" s="17"/>
      <c r="Y40" s="17"/>
      <c r="Z40" s="17"/>
      <c r="AA40" s="17"/>
      <c r="AB40" s="17"/>
      <c r="AC40" s="18"/>
      <c r="AF40" s="7"/>
      <c r="AG40" s="196"/>
      <c r="AH40" s="106"/>
      <c r="AI40" s="107"/>
      <c r="AJ40" s="107"/>
      <c r="AK40" s="107"/>
      <c r="AL40" s="107"/>
      <c r="AM40" s="107"/>
      <c r="AN40" s="107"/>
      <c r="AO40" s="107"/>
    </row>
    <row r="41" spans="2:41" x14ac:dyDescent="0.25">
      <c r="B41" s="21"/>
      <c r="C41" s="22"/>
      <c r="D41" s="185" t="s">
        <v>1</v>
      </c>
      <c r="E41" s="186"/>
      <c r="F41" s="186"/>
      <c r="G41" s="186"/>
      <c r="H41" s="186"/>
      <c r="I41" s="186"/>
      <c r="J41" s="186"/>
      <c r="K41" s="186"/>
      <c r="L41" s="186"/>
      <c r="M41" s="187"/>
      <c r="N41" s="108"/>
      <c r="O41" s="19"/>
      <c r="P41" s="21"/>
      <c r="Q41" s="22"/>
      <c r="R41" s="182" t="s">
        <v>1</v>
      </c>
      <c r="S41" s="183"/>
      <c r="T41" s="183"/>
      <c r="U41" s="183"/>
      <c r="V41" s="183"/>
      <c r="W41" s="183"/>
      <c r="X41" s="183"/>
      <c r="Y41" s="183"/>
      <c r="Z41" s="183"/>
      <c r="AA41" s="184"/>
      <c r="AB41" s="22"/>
      <c r="AC41" s="23"/>
      <c r="AF41" s="7"/>
      <c r="AG41" s="196"/>
      <c r="AH41" s="107"/>
      <c r="AI41" s="106"/>
      <c r="AJ41" s="107"/>
      <c r="AK41" s="107"/>
      <c r="AL41" s="107"/>
      <c r="AM41" s="107"/>
      <c r="AN41" s="107"/>
      <c r="AO41" s="107"/>
    </row>
    <row r="42" spans="2:41" x14ac:dyDescent="0.25">
      <c r="B42" s="21"/>
      <c r="C42" s="65" t="s">
        <v>8</v>
      </c>
      <c r="D42" s="29" t="s">
        <v>28</v>
      </c>
      <c r="E42" s="30" t="s">
        <v>29</v>
      </c>
      <c r="F42" s="30" t="s">
        <v>32</v>
      </c>
      <c r="G42" s="30" t="s">
        <v>31</v>
      </c>
      <c r="H42" s="30" t="s">
        <v>11</v>
      </c>
      <c r="I42" s="30" t="s">
        <v>12</v>
      </c>
      <c r="J42" s="30" t="s">
        <v>14</v>
      </c>
      <c r="K42" s="30" t="s">
        <v>13</v>
      </c>
      <c r="L42" s="30" t="s">
        <v>15</v>
      </c>
      <c r="M42" s="31" t="s">
        <v>16</v>
      </c>
      <c r="N42" s="109" t="s">
        <v>27</v>
      </c>
      <c r="O42" s="19"/>
      <c r="P42" s="21"/>
      <c r="Q42" s="28" t="s">
        <v>9</v>
      </c>
      <c r="R42" s="29" t="s">
        <v>28</v>
      </c>
      <c r="S42" s="30" t="s">
        <v>29</v>
      </c>
      <c r="T42" s="30" t="s">
        <v>32</v>
      </c>
      <c r="U42" s="30" t="s">
        <v>31</v>
      </c>
      <c r="V42" s="30" t="s">
        <v>11</v>
      </c>
      <c r="W42" s="30" t="s">
        <v>12</v>
      </c>
      <c r="X42" s="30" t="s">
        <v>14</v>
      </c>
      <c r="Y42" s="30" t="s">
        <v>13</v>
      </c>
      <c r="Z42" s="30" t="s">
        <v>15</v>
      </c>
      <c r="AA42" s="30" t="s">
        <v>16</v>
      </c>
      <c r="AB42" s="28" t="s">
        <v>10</v>
      </c>
      <c r="AC42" s="23"/>
      <c r="AF42" s="7"/>
      <c r="AG42" s="110"/>
      <c r="AH42" s="107"/>
      <c r="AI42" s="107"/>
      <c r="AJ42" s="106"/>
      <c r="AK42" s="107"/>
      <c r="AL42" s="107"/>
      <c r="AM42" s="107"/>
      <c r="AN42" s="107"/>
      <c r="AO42" s="107"/>
    </row>
    <row r="43" spans="2:41" x14ac:dyDescent="0.25">
      <c r="B43" s="200" t="s">
        <v>2</v>
      </c>
      <c r="C43" s="34" t="s">
        <v>28</v>
      </c>
      <c r="D43" s="35"/>
      <c r="E43" s="36"/>
      <c r="F43" s="36"/>
      <c r="G43" s="36"/>
      <c r="H43" s="36"/>
      <c r="I43" s="36"/>
      <c r="J43" s="36"/>
      <c r="K43" s="36"/>
      <c r="L43" s="36"/>
      <c r="M43" s="36"/>
      <c r="N43" s="111">
        <f t="shared" ref="N43:N49" si="8">AB43/(AB9+$AB$19*AC26)</f>
        <v>0.77493355481727588</v>
      </c>
      <c r="O43" s="19"/>
      <c r="P43" s="200" t="s">
        <v>2</v>
      </c>
      <c r="Q43" s="34" t="s">
        <v>28</v>
      </c>
      <c r="R43" s="22"/>
      <c r="S43" s="22"/>
      <c r="T43" s="22"/>
      <c r="U43" s="22"/>
      <c r="V43" s="22"/>
      <c r="W43" s="22"/>
      <c r="X43" s="22"/>
      <c r="Y43" s="22"/>
      <c r="Z43" s="22"/>
      <c r="AA43" s="22"/>
      <c r="AB43" s="112">
        <f t="shared" ref="AB43:AB52" si="9">AC26*$AF$15</f>
        <v>1610506.3291139244</v>
      </c>
      <c r="AC43" s="23"/>
      <c r="AF43" s="7"/>
      <c r="AG43" s="110"/>
      <c r="AH43" s="107"/>
      <c r="AI43" s="107"/>
      <c r="AJ43" s="107"/>
      <c r="AK43" s="106"/>
      <c r="AL43" s="107"/>
      <c r="AM43" s="107"/>
      <c r="AN43" s="107"/>
      <c r="AO43" s="107"/>
    </row>
    <row r="44" spans="2:41" x14ac:dyDescent="0.25">
      <c r="B44" s="201"/>
      <c r="C44" s="43" t="s">
        <v>29</v>
      </c>
      <c r="D44" s="44"/>
      <c r="E44" s="22"/>
      <c r="F44" s="22"/>
      <c r="G44" s="22"/>
      <c r="H44" s="22"/>
      <c r="I44" s="22"/>
      <c r="J44" s="22"/>
      <c r="K44" s="22"/>
      <c r="L44" s="22"/>
      <c r="M44" s="22"/>
      <c r="N44" s="113">
        <f t="shared" si="8"/>
        <v>0.77493355481727588</v>
      </c>
      <c r="O44" s="19"/>
      <c r="P44" s="201"/>
      <c r="Q44" s="43" t="s">
        <v>29</v>
      </c>
      <c r="R44" s="22"/>
      <c r="S44" s="22"/>
      <c r="T44" s="22"/>
      <c r="U44" s="22"/>
      <c r="V44" s="22"/>
      <c r="W44" s="22"/>
      <c r="X44" s="22"/>
      <c r="Y44" s="22"/>
      <c r="Z44" s="22"/>
      <c r="AA44" s="22"/>
      <c r="AB44" s="112">
        <f t="shared" si="9"/>
        <v>805253.16455696221</v>
      </c>
      <c r="AC44" s="23"/>
      <c r="AF44" s="7"/>
      <c r="AG44" s="110"/>
      <c r="AH44" s="107"/>
      <c r="AI44" s="107"/>
      <c r="AJ44" s="107"/>
      <c r="AK44" s="106"/>
      <c r="AL44" s="107"/>
      <c r="AM44" s="107"/>
      <c r="AN44" s="107"/>
      <c r="AO44" s="107"/>
    </row>
    <row r="45" spans="2:41" x14ac:dyDescent="0.25">
      <c r="B45" s="201"/>
      <c r="C45" s="43" t="s">
        <v>30</v>
      </c>
      <c r="D45" s="44"/>
      <c r="E45" s="22"/>
      <c r="F45" s="22"/>
      <c r="G45" s="22"/>
      <c r="H45" s="22"/>
      <c r="I45" s="22"/>
      <c r="J45" s="22"/>
      <c r="K45" s="22"/>
      <c r="L45" s="22"/>
      <c r="M45" s="22"/>
      <c r="N45" s="113">
        <f t="shared" si="8"/>
        <v>0.77493355481727577</v>
      </c>
      <c r="O45" s="19"/>
      <c r="P45" s="201"/>
      <c r="Q45" s="43" t="s">
        <v>30</v>
      </c>
      <c r="R45" s="22"/>
      <c r="S45" s="22"/>
      <c r="T45" s="114"/>
      <c r="U45" s="114"/>
      <c r="V45" s="114"/>
      <c r="W45" s="114"/>
      <c r="X45" s="114"/>
      <c r="Y45" s="114"/>
      <c r="Z45" s="114"/>
      <c r="AA45" s="114"/>
      <c r="AB45" s="112">
        <f t="shared" si="9"/>
        <v>3301537.9746835441</v>
      </c>
      <c r="AC45" s="23"/>
      <c r="AF45" s="7"/>
      <c r="AG45" s="110"/>
      <c r="AH45" s="107"/>
      <c r="AI45" s="107"/>
      <c r="AJ45" s="107"/>
      <c r="AK45" s="106"/>
      <c r="AL45" s="107"/>
      <c r="AM45" s="107"/>
      <c r="AN45" s="107"/>
      <c r="AO45" s="107"/>
    </row>
    <row r="46" spans="2:41" x14ac:dyDescent="0.25">
      <c r="B46" s="201"/>
      <c r="C46" s="43" t="s">
        <v>31</v>
      </c>
      <c r="D46" s="44"/>
      <c r="E46" s="22"/>
      <c r="F46" s="22"/>
      <c r="G46" s="22"/>
      <c r="H46" s="22"/>
      <c r="I46" s="22"/>
      <c r="J46" s="22"/>
      <c r="K46" s="22"/>
      <c r="L46" s="22"/>
      <c r="M46" s="22"/>
      <c r="N46" s="113">
        <f t="shared" si="8"/>
        <v>0.77493355481727588</v>
      </c>
      <c r="O46" s="19"/>
      <c r="P46" s="201"/>
      <c r="Q46" s="43" t="s">
        <v>31</v>
      </c>
      <c r="R46" s="22"/>
      <c r="S46" s="22"/>
      <c r="T46" s="114"/>
      <c r="U46" s="114"/>
      <c r="V46" s="114"/>
      <c r="W46" s="114"/>
      <c r="X46" s="114"/>
      <c r="Y46" s="114"/>
      <c r="Z46" s="114"/>
      <c r="AA46" s="114"/>
      <c r="AB46" s="112">
        <f t="shared" si="9"/>
        <v>8696734.1772151906</v>
      </c>
      <c r="AC46" s="23"/>
      <c r="AF46" s="7"/>
      <c r="AG46" s="110"/>
      <c r="AH46" s="107"/>
      <c r="AI46" s="107"/>
      <c r="AJ46" s="107"/>
      <c r="AK46" s="106"/>
      <c r="AL46" s="107"/>
      <c r="AM46" s="107"/>
      <c r="AN46" s="107"/>
      <c r="AO46" s="107"/>
    </row>
    <row r="47" spans="2:41" x14ac:dyDescent="0.25">
      <c r="B47" s="201"/>
      <c r="C47" s="115" t="s">
        <v>11</v>
      </c>
      <c r="D47" s="44"/>
      <c r="E47" s="22"/>
      <c r="F47" s="22"/>
      <c r="G47" s="22"/>
      <c r="H47" s="22"/>
      <c r="I47" s="22"/>
      <c r="J47" s="22"/>
      <c r="K47" s="22"/>
      <c r="L47" s="22"/>
      <c r="M47" s="22"/>
      <c r="N47" s="113">
        <f t="shared" si="8"/>
        <v>0.77493355481727588</v>
      </c>
      <c r="O47" s="19"/>
      <c r="P47" s="201"/>
      <c r="Q47" s="53" t="s">
        <v>11</v>
      </c>
      <c r="R47" s="22"/>
      <c r="S47" s="22"/>
      <c r="T47" s="114"/>
      <c r="U47" s="114"/>
      <c r="V47" s="114"/>
      <c r="W47" s="114"/>
      <c r="X47" s="114"/>
      <c r="Y47" s="114"/>
      <c r="Z47" s="114"/>
      <c r="AA47" s="114"/>
      <c r="AB47" s="112">
        <f t="shared" si="9"/>
        <v>8938310.1265822798</v>
      </c>
      <c r="AC47" s="23"/>
      <c r="AF47" s="7"/>
      <c r="AG47" s="110"/>
      <c r="AH47" s="107"/>
      <c r="AI47" s="107"/>
      <c r="AJ47" s="107"/>
      <c r="AK47" s="106"/>
      <c r="AL47" s="107"/>
      <c r="AM47" s="107"/>
      <c r="AN47" s="107"/>
      <c r="AO47" s="107"/>
    </row>
    <row r="48" spans="2:41" x14ac:dyDescent="0.25">
      <c r="B48" s="201"/>
      <c r="C48" s="115" t="s">
        <v>12</v>
      </c>
      <c r="D48" s="44"/>
      <c r="E48" s="22"/>
      <c r="F48" s="22"/>
      <c r="G48" s="22"/>
      <c r="H48" s="22"/>
      <c r="I48" s="22"/>
      <c r="J48" s="22"/>
      <c r="K48" s="22"/>
      <c r="L48" s="22"/>
      <c r="M48" s="22"/>
      <c r="N48" s="113">
        <f t="shared" si="8"/>
        <v>0.77493355481727577</v>
      </c>
      <c r="O48" s="19"/>
      <c r="P48" s="201"/>
      <c r="Q48" s="53" t="s">
        <v>12</v>
      </c>
      <c r="R48" s="22"/>
      <c r="S48" s="22"/>
      <c r="T48" s="114"/>
      <c r="U48" s="114"/>
      <c r="V48" s="114"/>
      <c r="W48" s="114"/>
      <c r="X48" s="114"/>
      <c r="Y48" s="114"/>
      <c r="Z48" s="114"/>
      <c r="AA48" s="114"/>
      <c r="AB48" s="112">
        <f t="shared" si="9"/>
        <v>29391740.506329115</v>
      </c>
      <c r="AC48" s="23"/>
      <c r="AF48" s="7"/>
      <c r="AG48" s="110"/>
      <c r="AH48" s="107"/>
      <c r="AI48" s="107"/>
      <c r="AJ48" s="107"/>
      <c r="AK48" s="106"/>
      <c r="AL48" s="107"/>
      <c r="AM48" s="107"/>
      <c r="AN48" s="107"/>
      <c r="AO48" s="107"/>
    </row>
    <row r="49" spans="2:41" x14ac:dyDescent="0.25">
      <c r="B49" s="201"/>
      <c r="C49" s="115" t="s">
        <v>14</v>
      </c>
      <c r="D49" s="44"/>
      <c r="E49" s="22"/>
      <c r="F49" s="22"/>
      <c r="G49" s="22"/>
      <c r="H49" s="22"/>
      <c r="I49" s="22"/>
      <c r="J49" s="22"/>
      <c r="K49" s="22"/>
      <c r="L49" s="22"/>
      <c r="M49" s="22"/>
      <c r="N49" s="113">
        <f t="shared" si="8"/>
        <v>0.77493355481727588</v>
      </c>
      <c r="O49" s="19"/>
      <c r="P49" s="201"/>
      <c r="Q49" s="53" t="s">
        <v>14</v>
      </c>
      <c r="R49" s="22"/>
      <c r="S49" s="22"/>
      <c r="T49" s="114"/>
      <c r="U49" s="114"/>
      <c r="V49" s="114"/>
      <c r="W49" s="114"/>
      <c r="X49" s="114"/>
      <c r="Y49" s="114"/>
      <c r="Z49" s="114"/>
      <c r="AA49" s="114"/>
      <c r="AB49" s="112">
        <f t="shared" si="9"/>
        <v>17232417.72151899</v>
      </c>
      <c r="AC49" s="23"/>
      <c r="AF49" s="7"/>
      <c r="AG49" s="110"/>
      <c r="AH49" s="107"/>
      <c r="AI49" s="107"/>
      <c r="AJ49" s="107"/>
      <c r="AK49" s="106"/>
      <c r="AL49" s="107"/>
      <c r="AM49" s="107"/>
      <c r="AN49" s="107"/>
      <c r="AO49" s="107"/>
    </row>
    <row r="50" spans="2:41" x14ac:dyDescent="0.25">
      <c r="B50" s="201"/>
      <c r="C50" s="115" t="s">
        <v>13</v>
      </c>
      <c r="D50" s="44"/>
      <c r="E50" s="22"/>
      <c r="F50" s="22"/>
      <c r="G50" s="22"/>
      <c r="H50" s="22"/>
      <c r="I50" s="22"/>
      <c r="J50" s="22"/>
      <c r="K50" s="22"/>
      <c r="L50" s="22"/>
      <c r="M50" s="22"/>
      <c r="N50" s="116" t="s">
        <v>41</v>
      </c>
      <c r="O50" s="19"/>
      <c r="P50" s="201"/>
      <c r="Q50" s="53" t="s">
        <v>13</v>
      </c>
      <c r="R50" s="22"/>
      <c r="S50" s="22"/>
      <c r="T50" s="114"/>
      <c r="U50" s="114"/>
      <c r="V50" s="114"/>
      <c r="W50" s="114"/>
      <c r="X50" s="114"/>
      <c r="Y50" s="114"/>
      <c r="Z50" s="114"/>
      <c r="AA50" s="114"/>
      <c r="AB50" s="112">
        <f t="shared" si="9"/>
        <v>0</v>
      </c>
      <c r="AC50" s="23"/>
      <c r="AF50" s="7"/>
      <c r="AG50" s="110"/>
      <c r="AH50" s="107"/>
      <c r="AI50" s="107"/>
      <c r="AJ50" s="107"/>
      <c r="AK50" s="106"/>
      <c r="AL50" s="107"/>
      <c r="AM50" s="107"/>
      <c r="AN50" s="107"/>
      <c r="AO50" s="107"/>
    </row>
    <row r="51" spans="2:41" x14ac:dyDescent="0.25">
      <c r="B51" s="201"/>
      <c r="C51" s="44" t="s">
        <v>15</v>
      </c>
      <c r="D51" s="44"/>
      <c r="E51" s="22"/>
      <c r="F51" s="22"/>
      <c r="G51" s="22"/>
      <c r="H51" s="22"/>
      <c r="I51" s="22"/>
      <c r="J51" s="22"/>
      <c r="K51" s="22"/>
      <c r="L51" s="22"/>
      <c r="M51" s="22"/>
      <c r="N51" s="116" t="s">
        <v>41</v>
      </c>
      <c r="O51" s="19"/>
      <c r="P51" s="201"/>
      <c r="Q51" s="43" t="s">
        <v>15</v>
      </c>
      <c r="R51" s="22"/>
      <c r="S51" s="22"/>
      <c r="T51" s="114"/>
      <c r="U51" s="114"/>
      <c r="V51" s="114"/>
      <c r="W51" s="114"/>
      <c r="X51" s="114"/>
      <c r="Y51" s="114"/>
      <c r="Z51" s="114"/>
      <c r="AA51" s="114"/>
      <c r="AB51" s="112">
        <f t="shared" si="9"/>
        <v>0</v>
      </c>
      <c r="AC51" s="23"/>
      <c r="AF51" s="7"/>
      <c r="AG51" s="110"/>
      <c r="AH51" s="107"/>
      <c r="AI51" s="107"/>
      <c r="AJ51" s="107"/>
      <c r="AK51" s="106"/>
      <c r="AL51" s="107"/>
      <c r="AM51" s="107"/>
      <c r="AN51" s="107"/>
      <c r="AO51" s="107"/>
    </row>
    <row r="52" spans="2:41" x14ac:dyDescent="0.25">
      <c r="B52" s="202"/>
      <c r="C52" s="44" t="s">
        <v>16</v>
      </c>
      <c r="D52" s="44"/>
      <c r="E52" s="22"/>
      <c r="F52" s="22"/>
      <c r="G52" s="22"/>
      <c r="H52" s="22"/>
      <c r="I52" s="22"/>
      <c r="J52" s="22"/>
      <c r="K52" s="22"/>
      <c r="L52" s="22"/>
      <c r="M52" s="22"/>
      <c r="N52" s="116" t="s">
        <v>41</v>
      </c>
      <c r="O52" s="19"/>
      <c r="P52" s="202"/>
      <c r="Q52" s="43" t="s">
        <v>16</v>
      </c>
      <c r="R52" s="22"/>
      <c r="S52" s="22"/>
      <c r="T52" s="114"/>
      <c r="U52" s="114"/>
      <c r="V52" s="114"/>
      <c r="W52" s="114"/>
      <c r="X52" s="114"/>
      <c r="Y52" s="114"/>
      <c r="Z52" s="114"/>
      <c r="AA52" s="114"/>
      <c r="AB52" s="117">
        <f t="shared" si="9"/>
        <v>0</v>
      </c>
      <c r="AC52" s="23"/>
      <c r="AF52" s="7"/>
      <c r="AG52" s="110"/>
      <c r="AH52" s="107"/>
      <c r="AI52" s="107"/>
      <c r="AJ52" s="107"/>
      <c r="AK52" s="106"/>
      <c r="AL52" s="107"/>
      <c r="AM52" s="107"/>
      <c r="AN52" s="107"/>
      <c r="AO52" s="107"/>
    </row>
    <row r="53" spans="2:41" x14ac:dyDescent="0.25">
      <c r="B53" s="21"/>
      <c r="C53" s="65" t="s">
        <v>27</v>
      </c>
      <c r="D53" s="118">
        <f t="shared" ref="D53:M53" si="10">R53/R20</f>
        <v>1.3806082278267537</v>
      </c>
      <c r="E53" s="119">
        <f t="shared" si="10"/>
        <v>1.2861558154466062</v>
      </c>
      <c r="F53" s="119">
        <f t="shared" si="10"/>
        <v>0.97577540855162448</v>
      </c>
      <c r="G53" s="119">
        <f t="shared" si="10"/>
        <v>1.4243232602596057</v>
      </c>
      <c r="H53" s="119">
        <f t="shared" si="10"/>
        <v>1.4784308767976038</v>
      </c>
      <c r="I53" s="119">
        <f t="shared" si="10"/>
        <v>0.79737346654853469</v>
      </c>
      <c r="J53" s="119">
        <f t="shared" si="10"/>
        <v>0</v>
      </c>
      <c r="K53" s="120">
        <f t="shared" si="10"/>
        <v>1.2923938169908509</v>
      </c>
      <c r="L53" s="119">
        <f t="shared" si="10"/>
        <v>1.0756569656942487</v>
      </c>
      <c r="M53" s="121">
        <f t="shared" si="10"/>
        <v>1.0756569656942487</v>
      </c>
      <c r="N53" s="23"/>
      <c r="O53" s="19"/>
      <c r="P53" s="21"/>
      <c r="Q53" s="28" t="s">
        <v>10</v>
      </c>
      <c r="R53" s="122">
        <f t="shared" ref="R53:AA53" si="11">R37*$AF$16</f>
        <v>1.3806082278267539E-13</v>
      </c>
      <c r="S53" s="122">
        <f t="shared" si="11"/>
        <v>32025279.804620493</v>
      </c>
      <c r="T53" s="122">
        <f t="shared" si="11"/>
        <v>3220058.8482203609</v>
      </c>
      <c r="U53" s="122">
        <f t="shared" si="11"/>
        <v>1.4243232602596057E-15</v>
      </c>
      <c r="V53" s="122">
        <f t="shared" si="11"/>
        <v>6948625.1209487375</v>
      </c>
      <c r="W53" s="122">
        <f t="shared" si="11"/>
        <v>5741088.9591494501</v>
      </c>
      <c r="X53" s="122">
        <f t="shared" si="11"/>
        <v>0</v>
      </c>
      <c r="Y53" s="122">
        <f t="shared" si="11"/>
        <v>14862528.895394785</v>
      </c>
      <c r="Z53" s="122">
        <f t="shared" si="11"/>
        <v>60559487.168586202</v>
      </c>
      <c r="AA53" s="123">
        <f t="shared" si="11"/>
        <v>18716431.203079928</v>
      </c>
      <c r="AB53" s="22"/>
      <c r="AC53" s="23"/>
      <c r="AF53" s="8"/>
      <c r="AG53" s="124"/>
      <c r="AH53" s="107"/>
      <c r="AI53" s="107"/>
      <c r="AJ53" s="107"/>
      <c r="AK53" s="107"/>
      <c r="AL53" s="107"/>
      <c r="AM53" s="106"/>
      <c r="AN53" s="107"/>
      <c r="AO53" s="107"/>
    </row>
    <row r="54" spans="2:41" ht="14.25" thickBot="1" x14ac:dyDescent="0.3">
      <c r="B54" s="69"/>
      <c r="C54" s="71" t="s">
        <v>26</v>
      </c>
      <c r="D54" s="6"/>
      <c r="E54" s="6"/>
      <c r="F54" s="6"/>
      <c r="G54" s="6"/>
      <c r="H54" s="6"/>
      <c r="I54" s="6"/>
      <c r="J54" s="6"/>
      <c r="K54" s="125">
        <f>K53*1.11</f>
        <v>1.4345571368598447</v>
      </c>
      <c r="L54" s="126"/>
      <c r="M54" s="127">
        <f>M53*1.11</f>
        <v>1.1939792319206162</v>
      </c>
      <c r="N54" s="70"/>
      <c r="O54" s="19"/>
      <c r="P54" s="69"/>
      <c r="Q54" s="128"/>
      <c r="R54" s="129"/>
      <c r="S54" s="130"/>
      <c r="T54" s="6"/>
      <c r="U54" s="6"/>
      <c r="V54" s="6"/>
      <c r="W54" s="6"/>
      <c r="X54" s="6"/>
      <c r="Y54" s="6"/>
      <c r="Z54" s="6"/>
      <c r="AA54" s="6"/>
      <c r="AB54" s="6"/>
      <c r="AC54" s="70"/>
      <c r="AF54" s="7"/>
      <c r="AG54" s="110"/>
      <c r="AH54" s="107"/>
      <c r="AI54" s="107"/>
      <c r="AJ54" s="107"/>
      <c r="AK54" s="107"/>
      <c r="AL54" s="107"/>
      <c r="AM54" s="107"/>
      <c r="AN54" s="106"/>
      <c r="AO54" s="107"/>
    </row>
    <row r="55" spans="2:41" ht="9" customHeight="1" x14ac:dyDescent="0.25">
      <c r="B55" s="19"/>
      <c r="C55" s="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F55" s="7"/>
      <c r="AG55" s="110"/>
      <c r="AH55" s="107"/>
      <c r="AI55" s="107"/>
      <c r="AJ55" s="107"/>
      <c r="AK55" s="107"/>
      <c r="AL55" s="107"/>
      <c r="AM55" s="107"/>
      <c r="AN55" s="107"/>
      <c r="AO55" s="106"/>
    </row>
    <row r="56" spans="2:41" ht="9" customHeight="1" x14ac:dyDescent="0.25">
      <c r="B56" s="19"/>
      <c r="C56" s="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F56" s="7"/>
      <c r="AG56" s="110"/>
      <c r="AH56" s="107"/>
      <c r="AI56" s="107"/>
      <c r="AJ56" s="107"/>
      <c r="AK56" s="107"/>
      <c r="AL56" s="107"/>
      <c r="AM56" s="107"/>
      <c r="AN56" s="107"/>
      <c r="AO56" s="106"/>
    </row>
    <row r="57" spans="2:41" ht="9" customHeight="1" x14ac:dyDescent="0.25">
      <c r="B57" s="19"/>
      <c r="C57" s="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F57" s="7"/>
      <c r="AG57" s="110"/>
      <c r="AH57" s="107"/>
      <c r="AI57" s="107"/>
      <c r="AJ57" s="107"/>
      <c r="AK57" s="107"/>
      <c r="AL57" s="107"/>
      <c r="AM57" s="107"/>
      <c r="AN57" s="107"/>
      <c r="AO57" s="106"/>
    </row>
    <row r="58" spans="2:41" ht="14.45" customHeight="1" x14ac:dyDescent="0.25">
      <c r="C58" s="131" t="s">
        <v>97</v>
      </c>
      <c r="D58" s="132"/>
      <c r="E58" s="132"/>
      <c r="F58" s="132"/>
      <c r="G58" s="132"/>
      <c r="H58" s="132"/>
      <c r="I58" s="132"/>
      <c r="J58" s="132"/>
      <c r="K58" s="3"/>
      <c r="L58" s="133"/>
      <c r="M58" s="134"/>
      <c r="O58" s="19"/>
      <c r="P58" s="19"/>
      <c r="Q58" s="19"/>
      <c r="S58" s="135"/>
      <c r="T58" s="136"/>
      <c r="U58" s="136"/>
      <c r="V58" s="137"/>
      <c r="W58" s="137"/>
      <c r="X58" s="19"/>
      <c r="Y58" s="19"/>
      <c r="Z58" s="19"/>
      <c r="AA58" s="19"/>
      <c r="AB58" s="19"/>
      <c r="AC58" s="19"/>
    </row>
    <row r="59" spans="2:41" ht="15" customHeight="1" x14ac:dyDescent="0.25">
      <c r="C59" s="3"/>
      <c r="D59" s="3"/>
      <c r="E59" s="3"/>
      <c r="F59" s="169"/>
      <c r="G59" s="170"/>
      <c r="H59" s="169" t="s">
        <v>63</v>
      </c>
      <c r="I59" s="170"/>
      <c r="J59" s="169" t="s">
        <v>45</v>
      </c>
      <c r="K59" s="170"/>
      <c r="L59" s="169" t="s">
        <v>53</v>
      </c>
      <c r="M59" s="170"/>
      <c r="S59" s="135"/>
      <c r="T59" s="136"/>
      <c r="U59" s="136"/>
      <c r="V59" s="137"/>
      <c r="W59" s="137"/>
    </row>
    <row r="60" spans="2:41" ht="15" customHeight="1" x14ac:dyDescent="0.25">
      <c r="C60" s="3"/>
      <c r="D60" s="3" t="s">
        <v>64</v>
      </c>
      <c r="E60" s="3"/>
      <c r="F60" s="171"/>
      <c r="G60" s="172"/>
      <c r="H60" s="171"/>
      <c r="I60" s="172"/>
      <c r="J60" s="171"/>
      <c r="K60" s="172"/>
      <c r="L60" s="171"/>
      <c r="M60" s="172"/>
      <c r="S60" s="135"/>
      <c r="T60" s="136"/>
      <c r="U60" s="136"/>
      <c r="V60" s="137"/>
      <c r="W60" s="137"/>
      <c r="X60" s="138"/>
      <c r="Y60" s="139"/>
    </row>
    <row r="61" spans="2:41" x14ac:dyDescent="0.25">
      <c r="B61" s="14"/>
      <c r="C61" s="5"/>
      <c r="D61" s="133"/>
      <c r="E61" s="133"/>
      <c r="F61" s="173"/>
      <c r="G61" s="174"/>
      <c r="H61" s="173"/>
      <c r="I61" s="174"/>
      <c r="J61" s="173"/>
      <c r="K61" s="174"/>
      <c r="L61" s="173"/>
      <c r="M61" s="174"/>
      <c r="S61" s="135"/>
      <c r="T61" s="49"/>
      <c r="U61" s="49"/>
      <c r="V61" s="49"/>
      <c r="W61" s="49"/>
      <c r="X61" s="138"/>
    </row>
    <row r="62" spans="2:41" x14ac:dyDescent="0.25">
      <c r="B62" s="14"/>
      <c r="C62" s="181" t="s">
        <v>43</v>
      </c>
      <c r="D62" s="194" t="s">
        <v>38</v>
      </c>
      <c r="E62" s="195"/>
      <c r="F62" s="140">
        <f>N43</f>
        <v>0.77493355481727588</v>
      </c>
      <c r="G62" s="141"/>
      <c r="H62" s="140">
        <v>0.77493355481727588</v>
      </c>
      <c r="I62" s="141"/>
      <c r="J62" s="175">
        <v>0.77200000000000002</v>
      </c>
      <c r="K62" s="176"/>
      <c r="L62" s="203">
        <f t="shared" ref="L62:L70" si="12">J62/H62-1</f>
        <v>-3.7855565797090263E-3</v>
      </c>
      <c r="M62" s="204"/>
      <c r="R62" s="138"/>
      <c r="S62" s="14"/>
      <c r="T62" s="142"/>
      <c r="U62" s="143"/>
      <c r="V62" s="143"/>
      <c r="W62" s="142"/>
      <c r="X62" s="138"/>
    </row>
    <row r="63" spans="2:41" x14ac:dyDescent="0.25">
      <c r="B63" s="14"/>
      <c r="C63" s="181"/>
      <c r="D63" s="192" t="s">
        <v>39</v>
      </c>
      <c r="E63" s="193" t="s">
        <v>39</v>
      </c>
      <c r="F63" s="144">
        <f>F62*1.11</f>
        <v>0.86017624584717634</v>
      </c>
      <c r="G63" s="145"/>
      <c r="H63" s="144">
        <v>0.86017624584717634</v>
      </c>
      <c r="I63" s="145"/>
      <c r="J63" s="177">
        <v>0.85699999999999998</v>
      </c>
      <c r="K63" s="178"/>
      <c r="L63" s="167">
        <f t="shared" si="12"/>
        <v>-3.6925523838990948E-3</v>
      </c>
      <c r="M63" s="168"/>
      <c r="R63" s="138"/>
      <c r="S63" s="14"/>
      <c r="T63" s="142"/>
      <c r="U63" s="143"/>
      <c r="V63" s="143"/>
      <c r="W63" s="142"/>
      <c r="X63" s="138"/>
    </row>
    <row r="64" spans="2:41" x14ac:dyDescent="0.25">
      <c r="B64" s="14"/>
      <c r="C64" s="181" t="s">
        <v>44</v>
      </c>
      <c r="D64" s="194" t="s">
        <v>46</v>
      </c>
      <c r="E64" s="195" t="s">
        <v>46</v>
      </c>
      <c r="F64" s="140">
        <f>E53/$I$75*100</f>
        <v>1.2547526123868402</v>
      </c>
      <c r="G64" s="141"/>
      <c r="H64" s="140">
        <v>1.2547526123868402</v>
      </c>
      <c r="I64" s="141"/>
      <c r="J64" s="175">
        <v>1.264</v>
      </c>
      <c r="K64" s="176"/>
      <c r="L64" s="203">
        <f t="shared" si="12"/>
        <v>7.3698891095106411E-3</v>
      </c>
      <c r="M64" s="204"/>
      <c r="R64" s="138"/>
      <c r="S64" s="14"/>
      <c r="T64" s="142"/>
      <c r="U64" s="143"/>
      <c r="V64" s="143"/>
      <c r="W64" s="142"/>
      <c r="X64" s="138"/>
    </row>
    <row r="65" spans="2:24" x14ac:dyDescent="0.25">
      <c r="B65" s="14"/>
      <c r="C65" s="181"/>
      <c r="D65" s="190" t="s">
        <v>47</v>
      </c>
      <c r="E65" s="191" t="s">
        <v>33</v>
      </c>
      <c r="F65" s="146">
        <f>F53/$I$75*100</f>
        <v>0.95195055550702479</v>
      </c>
      <c r="G65" s="147"/>
      <c r="H65" s="146">
        <v>0.95195055550702479</v>
      </c>
      <c r="I65" s="147"/>
      <c r="J65" s="179">
        <v>0.94199999999999995</v>
      </c>
      <c r="K65" s="180"/>
      <c r="L65" s="165">
        <f t="shared" si="12"/>
        <v>-1.045280708064189E-2</v>
      </c>
      <c r="M65" s="166"/>
      <c r="R65" s="138"/>
      <c r="S65" s="14"/>
      <c r="T65" s="142"/>
      <c r="U65" s="143"/>
      <c r="V65" s="143"/>
      <c r="W65" s="142"/>
      <c r="X65" s="138"/>
    </row>
    <row r="66" spans="2:24" x14ac:dyDescent="0.25">
      <c r="B66" s="14"/>
      <c r="C66" s="181"/>
      <c r="D66" s="190" t="s">
        <v>48</v>
      </c>
      <c r="E66" s="191" t="s">
        <v>34</v>
      </c>
      <c r="F66" s="146">
        <f>H53/$I$75*100</f>
        <v>1.4423330226524735</v>
      </c>
      <c r="G66" s="147"/>
      <c r="H66" s="146">
        <v>1.4423330226524735</v>
      </c>
      <c r="I66" s="147"/>
      <c r="J66" s="179">
        <v>1.462</v>
      </c>
      <c r="K66" s="180"/>
      <c r="L66" s="165">
        <f t="shared" si="12"/>
        <v>1.3635531488670027E-2</v>
      </c>
      <c r="M66" s="166"/>
      <c r="R66" s="138"/>
      <c r="S66" s="14"/>
      <c r="T66" s="142"/>
      <c r="U66" s="143"/>
      <c r="V66" s="143"/>
      <c r="W66" s="142"/>
    </row>
    <row r="67" spans="2:24" x14ac:dyDescent="0.25">
      <c r="B67" s="14"/>
      <c r="C67" s="181"/>
      <c r="D67" s="190" t="s">
        <v>49</v>
      </c>
      <c r="E67" s="191" t="s">
        <v>12</v>
      </c>
      <c r="F67" s="146">
        <f>I53/$I$75*100</f>
        <v>0.77790453394817305</v>
      </c>
      <c r="G67" s="147"/>
      <c r="H67" s="146">
        <v>0.77790453394817305</v>
      </c>
      <c r="I67" s="147"/>
      <c r="J67" s="179">
        <v>0.78400000000000003</v>
      </c>
      <c r="K67" s="180"/>
      <c r="L67" s="165">
        <f t="shared" si="12"/>
        <v>7.8357507712289998E-3</v>
      </c>
      <c r="M67" s="166"/>
      <c r="N67" s="139"/>
      <c r="R67" s="138"/>
      <c r="S67" s="14"/>
      <c r="T67" s="142"/>
      <c r="U67" s="143"/>
      <c r="V67" s="143"/>
      <c r="W67" s="142"/>
    </row>
    <row r="68" spans="2:24" x14ac:dyDescent="0.25">
      <c r="B68" s="14"/>
      <c r="C68" s="181"/>
      <c r="D68" s="190" t="s">
        <v>50</v>
      </c>
      <c r="E68" s="191" t="s">
        <v>35</v>
      </c>
      <c r="F68" s="146">
        <f>K54/$I$75*100</f>
        <v>1.3995305183672766</v>
      </c>
      <c r="G68" s="147"/>
      <c r="H68" s="146">
        <v>1.3995305183672766</v>
      </c>
      <c r="I68" s="147"/>
      <c r="J68" s="179">
        <v>1.3979999999999999</v>
      </c>
      <c r="K68" s="180"/>
      <c r="L68" s="165">
        <f t="shared" si="12"/>
        <v>-1.0935941354549561E-3</v>
      </c>
      <c r="M68" s="166"/>
      <c r="N68" s="139"/>
      <c r="S68" s="14"/>
      <c r="T68" s="148"/>
      <c r="U68" s="149"/>
      <c r="V68" s="149"/>
      <c r="W68" s="150"/>
    </row>
    <row r="69" spans="2:24" x14ac:dyDescent="0.25">
      <c r="B69" s="14"/>
      <c r="C69" s="181"/>
      <c r="D69" s="190" t="s">
        <v>51</v>
      </c>
      <c r="E69" s="191" t="s">
        <v>15</v>
      </c>
      <c r="F69" s="146">
        <f>L53/$I$75*100</f>
        <v>1.0493933717263446</v>
      </c>
      <c r="G69" s="147"/>
      <c r="H69" s="146">
        <v>1.0493933717263446</v>
      </c>
      <c r="I69" s="147"/>
      <c r="J69" s="179">
        <v>1.048</v>
      </c>
      <c r="K69" s="180"/>
      <c r="L69" s="165">
        <f t="shared" si="12"/>
        <v>-1.3277878094963835E-3</v>
      </c>
      <c r="M69" s="166"/>
      <c r="N69" s="139"/>
    </row>
    <row r="70" spans="2:24" x14ac:dyDescent="0.25">
      <c r="B70" s="14"/>
      <c r="C70" s="181"/>
      <c r="D70" s="192" t="s">
        <v>52</v>
      </c>
      <c r="E70" s="193" t="s">
        <v>16</v>
      </c>
      <c r="F70" s="144">
        <f>M54/$I$75*100</f>
        <v>1.1648266426162428</v>
      </c>
      <c r="G70" s="145"/>
      <c r="H70" s="144">
        <v>1.1648266426162428</v>
      </c>
      <c r="I70" s="145"/>
      <c r="J70" s="177">
        <v>1.163</v>
      </c>
      <c r="K70" s="178"/>
      <c r="L70" s="167">
        <f t="shared" si="12"/>
        <v>-1.5681669266596199E-3</v>
      </c>
      <c r="M70" s="168"/>
      <c r="N70" s="139"/>
    </row>
    <row r="71" spans="2:24" x14ac:dyDescent="0.25">
      <c r="B71" s="14"/>
      <c r="C71" s="3"/>
      <c r="D71" s="3"/>
      <c r="E71" s="3"/>
      <c r="F71" s="3"/>
      <c r="G71" s="3"/>
      <c r="H71" s="3"/>
      <c r="I71" s="3"/>
      <c r="J71" s="133"/>
      <c r="K71" s="133"/>
      <c r="L71" s="133"/>
      <c r="M71" s="134"/>
      <c r="N71" s="139"/>
    </row>
    <row r="72" spans="2:24" x14ac:dyDescent="0.25">
      <c r="N72" s="139"/>
    </row>
    <row r="73" spans="2:24" x14ac:dyDescent="0.25">
      <c r="C73" s="14"/>
      <c r="D73" s="134"/>
      <c r="E73" s="151">
        <v>2020</v>
      </c>
      <c r="F73" s="151">
        <v>2021</v>
      </c>
      <c r="G73" s="151">
        <v>2022</v>
      </c>
      <c r="H73" s="151">
        <v>2023</v>
      </c>
      <c r="I73" s="19" t="s">
        <v>37</v>
      </c>
      <c r="N73" s="139"/>
    </row>
    <row r="74" spans="2:24" x14ac:dyDescent="0.25">
      <c r="C74" s="19"/>
      <c r="E74" s="19"/>
      <c r="F74" s="152">
        <f>'Input data &amp; Output tariffs'!E42</f>
        <v>1.6E-2</v>
      </c>
      <c r="G74" s="152">
        <f>'Input data &amp; Output tariffs'!E43</f>
        <v>1.7000000000000001E-2</v>
      </c>
      <c r="H74" s="152">
        <f>'Input data &amp; Output tariffs'!E44</f>
        <v>1.7000000000000001E-2</v>
      </c>
      <c r="N74" s="139"/>
    </row>
    <row r="75" spans="2:24" x14ac:dyDescent="0.25">
      <c r="C75" s="4" t="s">
        <v>36</v>
      </c>
      <c r="E75" s="4">
        <v>100</v>
      </c>
      <c r="F75" s="4">
        <f>E75*(1+F74)</f>
        <v>101.6</v>
      </c>
      <c r="G75" s="4">
        <f t="shared" ref="G75:H75" si="13">F75*(1+G74)</f>
        <v>103.32719999999999</v>
      </c>
      <c r="H75" s="4">
        <f t="shared" si="13"/>
        <v>105.08376239999998</v>
      </c>
      <c r="I75" s="4">
        <f>AVERAGE(E75:H75)</f>
        <v>102.50274059999998</v>
      </c>
      <c r="N75" s="139"/>
    </row>
  </sheetData>
  <sheetProtection algorithmName="SHA-512" hashValue="gwaKFgbOMOBtVePQbm+UBv0IoJQDXoNBNdQZBI8EyWPYqS4iEmBNM/+6aPazRdFcZH3kf80HS9tPF4gkx9vI8A==" saltValue="MprRipIDHCDmFvp0VNtwQg==" spinCount="100000" sheet="1" objects="1" scenarios="1" selectLockedCells="1" selectUnlockedCells="1"/>
  <mergeCells count="53">
    <mergeCell ref="D67:E67"/>
    <mergeCell ref="D68:E68"/>
    <mergeCell ref="L59:M61"/>
    <mergeCell ref="L62:M62"/>
    <mergeCell ref="L63:M63"/>
    <mergeCell ref="L64:M64"/>
    <mergeCell ref="L65:M65"/>
    <mergeCell ref="L66:M66"/>
    <mergeCell ref="L67:M67"/>
    <mergeCell ref="L68:M68"/>
    <mergeCell ref="B9:B18"/>
    <mergeCell ref="P9:P18"/>
    <mergeCell ref="B26:B35"/>
    <mergeCell ref="P26:P35"/>
    <mergeCell ref="B43:B52"/>
    <mergeCell ref="P43:P52"/>
    <mergeCell ref="AG40:AG41"/>
    <mergeCell ref="AF6:AG6"/>
    <mergeCell ref="AF16:AG16"/>
    <mergeCell ref="AF15:AG15"/>
    <mergeCell ref="AB25:AC25"/>
    <mergeCell ref="C64:C70"/>
    <mergeCell ref="H59:I61"/>
    <mergeCell ref="D7:M7"/>
    <mergeCell ref="R7:AA7"/>
    <mergeCell ref="R24:AA24"/>
    <mergeCell ref="R41:AA41"/>
    <mergeCell ref="D24:M24"/>
    <mergeCell ref="D41:M41"/>
    <mergeCell ref="Q36:Q37"/>
    <mergeCell ref="D69:E69"/>
    <mergeCell ref="D70:E70"/>
    <mergeCell ref="D62:E62"/>
    <mergeCell ref="D63:E63"/>
    <mergeCell ref="D64:E64"/>
    <mergeCell ref="D65:E65"/>
    <mergeCell ref="D66:E66"/>
    <mergeCell ref="B2:AC2"/>
    <mergeCell ref="AF17:AG17"/>
    <mergeCell ref="L69:M69"/>
    <mergeCell ref="L70:M70"/>
    <mergeCell ref="J59:K61"/>
    <mergeCell ref="F59:G61"/>
    <mergeCell ref="J62:K62"/>
    <mergeCell ref="J63:K63"/>
    <mergeCell ref="J64:K64"/>
    <mergeCell ref="J65:K65"/>
    <mergeCell ref="J66:K66"/>
    <mergeCell ref="J67:K67"/>
    <mergeCell ref="J68:K68"/>
    <mergeCell ref="J69:K69"/>
    <mergeCell ref="J70:K70"/>
    <mergeCell ref="C62:C6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&amp; Disclaimer</vt:lpstr>
      <vt:lpstr>Input data &amp; Output tariffs</vt:lpstr>
      <vt:lpstr>Simplified tariff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Allonsius, Johan</dc:creator>
  <cp:lastModifiedBy>Fally Louis</cp:lastModifiedBy>
  <dcterms:created xsi:type="dcterms:W3CDTF">2019-01-29T13:53:42Z</dcterms:created>
  <dcterms:modified xsi:type="dcterms:W3CDTF">2020-03-10T07:57:46Z</dcterms:modified>
</cp:coreProperties>
</file>