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ink/ink1.xml" ContentType="application/inkml+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S:\001 FLUXYS Belgium\020 Administration\TEAM KAM\Price Simulator for Domestic Exits in Belgium\For publication on website\2020 prices\"/>
    </mc:Choice>
  </mc:AlternateContent>
  <xr:revisionPtr revIDLastSave="0" documentId="13_ncr:1_{D8E66834-D7E1-47ED-BFA6-18C9EFB320DC}" xr6:coauthVersionLast="36" xr6:coauthVersionMax="36" xr10:uidLastSave="{00000000-0000-0000-0000-000000000000}"/>
  <workbookProtection workbookAlgorithmName="SHA-512" workbookHashValue="ewnhilQHBryPCSZXqtrNOG3uEVDhl0kl7wFCa4m2YTweozUiUJp2BejwAp74sIMKfzzH+I20Uwg5IkShP75Tsg==" workbookSaltValue="KCBh+pPwWkpGNYNAfREKJg==" workbookSpinCount="100000" lockStructure="1"/>
  <bookViews>
    <workbookView xWindow="-840" yWindow="-180" windowWidth="15480" windowHeight="8280" tabRatio="665" xr2:uid="{00000000-000D-0000-FFFF-FFFF00000000}"/>
  </bookViews>
  <sheets>
    <sheet name="Simulation" sheetId="27" r:id="rId1"/>
    <sheet name="Calculations Distribution" sheetId="31" state="veryHidden" r:id="rId2"/>
    <sheet name="Calculations End Users" sheetId="30" state="veryHidden" r:id="rId3"/>
    <sheet name="Parameters" sheetId="29" state="veryHidden" r:id="rId4"/>
    <sheet name="Industr. Clients + Power Plants" sheetId="26" state="veryHidden" r:id="rId5"/>
  </sheets>
  <externalReferences>
    <externalReference r:id="rId6"/>
  </externalReferences>
  <definedNames>
    <definedName name="_xlnm._FilterDatabase" localSheetId="4" hidden="1">'Industr. Clients + Power Plants'!$A$1:$R$1</definedName>
    <definedName name="Additional" localSheetId="1">#REF!</definedName>
    <definedName name="Additional">#REF!</definedName>
    <definedName name="AdditionalStorage" localSheetId="1">#REF!</definedName>
    <definedName name="AdditionalStorage">#REF!</definedName>
    <definedName name="betweenZones" localSheetId="1">#REF!</definedName>
    <definedName name="betweenZones">#REF!</definedName>
    <definedName name="Entry" localSheetId="1">#REF!</definedName>
    <definedName name="Entry">#REF!</definedName>
    <definedName name="Entry_" localSheetId="1">#REF!</definedName>
    <definedName name="Entry_">#REF!</definedName>
    <definedName name="Entry_Alveringem" localSheetId="1">#REF!</definedName>
    <definedName name="Entry_Alveringem">#REF!</definedName>
    <definedName name="Entry_BlaregniesL" localSheetId="1">#REF!</definedName>
    <definedName name="Entry_BlaregniesL">#REF!</definedName>
    <definedName name="Entry_BlaregniesTrollBlaregniesSegeo" localSheetId="1">#REF!</definedName>
    <definedName name="Entry_BlaregniesTrollBlaregniesSegeo">#REF!</definedName>
    <definedName name="Entry_DunkerqueLNGTerminal" localSheetId="1">#REF!</definedName>
    <definedName name="Entry_DunkerqueLNGTerminal">#REF!</definedName>
    <definedName name="Entry_Eynatten1" localSheetId="1">#REF!</definedName>
    <definedName name="Entry_Eynatten1">#REF!</definedName>
    <definedName name="Entry_Eynatten2" localSheetId="1">#REF!</definedName>
    <definedName name="Entry_Eynatten2">#REF!</definedName>
    <definedName name="Entry_HilvarenbeekL" localSheetId="1">#REF!</definedName>
    <definedName name="Entry_HilvarenbeekL">#REF!</definedName>
    <definedName name="Entry_IZT" localSheetId="1">#REF!</definedName>
    <definedName name="Entry_IZT">#REF!</definedName>
    <definedName name="Entry_IZTZeebruggeBeach" localSheetId="1">#REF!</definedName>
    <definedName name="Entry_IZTZeebruggeBeach">#REF!</definedName>
    <definedName name="Entry_LNGTerminal" localSheetId="1">#REF!</definedName>
    <definedName name="Entry_LNGTerminal">#REF!</definedName>
    <definedName name="Entry_Loenhout" localSheetId="1">#REF!</definedName>
    <definedName name="Entry_Loenhout">#REF!</definedName>
    <definedName name="Entry_Poppel" localSheetId="1">#REF!</definedName>
    <definedName name="Entry_Poppel">#REF!</definedName>
    <definedName name="Entry_sGravenvoeren" localSheetId="1">#REF!</definedName>
    <definedName name="Entry_sGravenvoeren">#REF!</definedName>
    <definedName name="Entry_ZandvlietH" localSheetId="1">#REF!</definedName>
    <definedName name="Entry_ZandvlietH">#REF!</definedName>
    <definedName name="Entry_Zelzate1" localSheetId="1">#REF!</definedName>
    <definedName name="Entry_Zelzate1">#REF!</definedName>
    <definedName name="Entry_Zelzate2" localSheetId="1">#REF!</definedName>
    <definedName name="Entry_Zelzate2">#REF!</definedName>
    <definedName name="Entry_ZPT" localSheetId="1">#REF!</definedName>
    <definedName name="Entry_ZPT">#REF!</definedName>
    <definedName name="Exit" localSheetId="1">#REF!</definedName>
    <definedName name="Exit">#REF!</definedName>
    <definedName name="Exit_" localSheetId="1">#REF!</definedName>
    <definedName name="Exit_">#REF!</definedName>
    <definedName name="Exit_Alveringem" localSheetId="1">#REF!</definedName>
    <definedName name="Exit_Alveringem">#REF!</definedName>
    <definedName name="Exit_BlaregniesL" localSheetId="1">#REF!</definedName>
    <definedName name="Exit_BlaregniesL">#REF!</definedName>
    <definedName name="Exit_BlaregniesTrollBlaregniesSegeo" localSheetId="1">#REF!</definedName>
    <definedName name="Exit_BlaregniesTrollBlaregniesSegeo">#REF!</definedName>
    <definedName name="Exit_DPDomesticExitHPHgas" localSheetId="1">#REF!</definedName>
    <definedName name="Exit_DPDomesticExitHPHgas">#REF!</definedName>
    <definedName name="Exit_DPDomesticExitHPLgas" localSheetId="1">#REF!</definedName>
    <definedName name="Exit_DPDomesticExitHPLgas">#REF!</definedName>
    <definedName name="Exit_Eynatten1" localSheetId="1">#REF!</definedName>
    <definedName name="Exit_Eynatten1">#REF!</definedName>
    <definedName name="Exit_Eynatten2" localSheetId="1">#REF!</definedName>
    <definedName name="Exit_Eynatten2">#REF!</definedName>
    <definedName name="Exit_HilvarenbeekL" localSheetId="1">#REF!</definedName>
    <definedName name="Exit_HilvarenbeekL">#REF!</definedName>
    <definedName name="Exit_IZTZeebruggeBeach" localSheetId="1">#REF!</definedName>
    <definedName name="Exit_IZTZeebruggeBeach">#REF!</definedName>
    <definedName name="Exit_LNGTerminal" localSheetId="1">#REF!</definedName>
    <definedName name="Exit_LNGTerminal">#REF!</definedName>
    <definedName name="Exit_Loenhout" localSheetId="1">#REF!</definedName>
    <definedName name="Exit_Loenhout">#REF!</definedName>
    <definedName name="Exit_NonDPDomesticExitHPHgasnonfixflexoption" localSheetId="1">#REF!</definedName>
    <definedName name="Exit_NonDPDomesticExitHPHgasnonfixflexoption">#REF!</definedName>
    <definedName name="Exit_NonDPDomesticExitHPLgasnonfixflexoption" localSheetId="1">#REF!</definedName>
    <definedName name="Exit_NonDPDomesticExitHPLgasnonfixflexoption">#REF!</definedName>
    <definedName name="Exit_sGravenvoeren" localSheetId="1">#REF!</definedName>
    <definedName name="Exit_sGravenvoeren">#REF!</definedName>
    <definedName name="Exit_ZandvlietH" localSheetId="1">#REF!</definedName>
    <definedName name="Exit_ZandvlietH">#REF!</definedName>
    <definedName name="Exit_Zelzate1" localSheetId="1">#REF!</definedName>
    <definedName name="Exit_Zelzate1">#REF!</definedName>
    <definedName name="Exit_Zelzate2" localSheetId="1">#REF!</definedName>
    <definedName name="Exit_Zelzate2">#REF!</definedName>
    <definedName name="Exit_ZPT" localSheetId="1">#REF!</definedName>
    <definedName name="Exit_ZPT">#REF!</definedName>
    <definedName name="Other" localSheetId="1">#REF!</definedName>
    <definedName name="Other">#REF!</definedName>
    <definedName name="Other_" localSheetId="1">#REF!</definedName>
    <definedName name="Other_">#REF!</definedName>
    <definedName name="Other_CapacityPoolingatsupplypoint" localSheetId="1">#REF!</definedName>
    <definedName name="Other_CapacityPoolingatsupplypoint">#REF!</definedName>
    <definedName name="Other_CommunicationServiceofmeasureddatainadsenceofconnectionagreement" localSheetId="1">#REF!</definedName>
    <definedName name="Other_CommunicationServiceofmeasureddatainadsenceofconnectionagreement">#REF!</definedName>
    <definedName name="Other_CommunicationServiceofmeasureddatainRealtime" localSheetId="1">#REF!</definedName>
    <definedName name="Other_CommunicationServiceofmeasureddatainRealtime">#REF!</definedName>
    <definedName name="Other_ConnectionandDisconectionServices" localSheetId="1">#REF!</definedName>
    <definedName name="Other_ConnectionandDisconectionServices">#REF!</definedName>
    <definedName name="Other_Discontinuanceofunusedcapacity" localSheetId="1">#REF!</definedName>
    <definedName name="Other_Discontinuanceofunusedcapacity">#REF!</definedName>
    <definedName name="Other_DPDedicatedPressureReductionStationHgas" localSheetId="1">#REF!</definedName>
    <definedName name="Other_DPDedicatedPressureReductionStationHgas">#REF!</definedName>
    <definedName name="Other_DPDedicatedPressureReductionStationLgas" localSheetId="1">#REF!</definedName>
    <definedName name="Other_DPDedicatedPressureReductionStationLgas">#REF!</definedName>
    <definedName name="Other_DPDomesticExitMPHgas" localSheetId="1">#REF!</definedName>
    <definedName name="Other_DPDomesticExitMPHgas">#REF!</definedName>
    <definedName name="Other_DPDomesticExitMPLgas" localSheetId="1">#REF!</definedName>
    <definedName name="Other_DPDomesticExitMPLgas">#REF!</definedName>
    <definedName name="Other_HLTransfoservice" localSheetId="1">#REF!</definedName>
    <definedName name="Other_HLTransfoservice">#REF!</definedName>
    <definedName name="Other_MultishipperCode" localSheetId="1">#REF!</definedName>
    <definedName name="Other_MultishipperCode">#REF!</definedName>
    <definedName name="Other_NonDPDedicatedPressureReductionStationHgas" localSheetId="1">#REF!</definedName>
    <definedName name="Other_NonDPDedicatedPressureReductionStationHgas">#REF!</definedName>
    <definedName name="Other_NonDPDedicatedPressureReductionStationLgas" localSheetId="1">#REF!</definedName>
    <definedName name="Other_NonDPDedicatedPressureReductionStationLgas">#REF!</definedName>
    <definedName name="Other_NonDPDomesticExitMPHgas" localSheetId="1">#REF!</definedName>
    <definedName name="Other_NonDPDomesticExitMPHgas">#REF!</definedName>
    <definedName name="Other_NonDPDomesticExitMPLgas" localSheetId="1">#REF!</definedName>
    <definedName name="Other_NonDPDomesticExitMPLgas">#REF!</definedName>
    <definedName name="Other_OCUC" localSheetId="1">#REF!</definedName>
    <definedName name="Other_OCUC">#REF!</definedName>
    <definedName name="Other_RegistrationtointerruptibleserviceDayAhead" localSheetId="1">#REF!</definedName>
    <definedName name="Other_RegistrationtointerruptibleserviceDayAhead">#REF!</definedName>
    <definedName name="Other_Wheeling" localSheetId="1">#REF!</definedName>
    <definedName name="Other_Wheeling">#REF!</definedName>
    <definedName name="Other_Zeeplatform" localSheetId="1">#REF!</definedName>
    <definedName name="Other_Zeeplatform">#REF!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0" i="30" l="1"/>
  <c r="B29" i="30"/>
  <c r="B28" i="30"/>
  <c r="B27" i="30"/>
  <c r="B21" i="31"/>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106" i="30"/>
  <c r="C107" i="30"/>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33" i="31"/>
  <c r="B24" i="31"/>
  <c r="B12" i="31" s="1"/>
  <c r="B115" i="31"/>
  <c r="B114" i="31"/>
  <c r="B113" i="31"/>
  <c r="B112" i="31"/>
  <c r="B111" i="31"/>
  <c r="B110" i="31"/>
  <c r="B109" i="31"/>
  <c r="B108" i="31"/>
  <c r="I64" i="31" s="1"/>
  <c r="B107" i="31"/>
  <c r="B106" i="31"/>
  <c r="G104" i="31"/>
  <c r="G103" i="31"/>
  <c r="G102" i="31"/>
  <c r="G101" i="31"/>
  <c r="G100" i="31"/>
  <c r="G99" i="31"/>
  <c r="G98" i="31"/>
  <c r="G97" i="31"/>
  <c r="G96" i="31"/>
  <c r="G95" i="31"/>
  <c r="G94" i="31"/>
  <c r="G93" i="31"/>
  <c r="G92" i="31"/>
  <c r="G91" i="31"/>
  <c r="G90" i="31"/>
  <c r="G89" i="31"/>
  <c r="G88" i="31"/>
  <c r="G87" i="31"/>
  <c r="G86" i="31"/>
  <c r="G85" i="31"/>
  <c r="G84" i="31"/>
  <c r="G83" i="31"/>
  <c r="G82" i="31"/>
  <c r="G81" i="31"/>
  <c r="G80" i="31"/>
  <c r="G79" i="31"/>
  <c r="G78" i="31"/>
  <c r="G77" i="31"/>
  <c r="G76" i="31"/>
  <c r="G75" i="31"/>
  <c r="G74" i="31"/>
  <c r="G73" i="31"/>
  <c r="G72" i="31"/>
  <c r="G71" i="31"/>
  <c r="G70" i="31"/>
  <c r="G69" i="31"/>
  <c r="G68" i="31"/>
  <c r="G67" i="31"/>
  <c r="G66" i="31"/>
  <c r="G65" i="31"/>
  <c r="G64" i="31"/>
  <c r="G63" i="31"/>
  <c r="G62" i="31"/>
  <c r="G61" i="31"/>
  <c r="G60" i="31"/>
  <c r="G59" i="31"/>
  <c r="G58" i="31"/>
  <c r="G57" i="31"/>
  <c r="G56" i="31"/>
  <c r="G55" i="31"/>
  <c r="G54" i="31"/>
  <c r="G53" i="31"/>
  <c r="G52" i="31"/>
  <c r="G51" i="31"/>
  <c r="G50" i="31"/>
  <c r="G49" i="31"/>
  <c r="G48" i="31"/>
  <c r="G47" i="31"/>
  <c r="G46" i="31"/>
  <c r="G45" i="31"/>
  <c r="G44" i="31"/>
  <c r="G43" i="31"/>
  <c r="G42" i="31"/>
  <c r="G41" i="31"/>
  <c r="G40" i="31"/>
  <c r="G39" i="31"/>
  <c r="G38" i="31"/>
  <c r="G37" i="31"/>
  <c r="G36" i="31"/>
  <c r="G35" i="31"/>
  <c r="G34" i="31"/>
  <c r="G33" i="31"/>
  <c r="B29" i="31"/>
  <c r="B6" i="31"/>
  <c r="B14" i="31"/>
  <c r="A6" i="31"/>
  <c r="B23" i="30"/>
  <c r="G96" i="30"/>
  <c r="G97" i="30"/>
  <c r="G98" i="30"/>
  <c r="G99" i="30"/>
  <c r="G100" i="30"/>
  <c r="G101" i="30"/>
  <c r="G102" i="30"/>
  <c r="G103" i="30"/>
  <c r="G104" i="30"/>
  <c r="G105" i="30"/>
  <c r="G106" i="30"/>
  <c r="G107" i="30"/>
  <c r="F97" i="30"/>
  <c r="F98" i="30"/>
  <c r="F99" i="30"/>
  <c r="F100" i="30"/>
  <c r="F101" i="30"/>
  <c r="F102" i="30"/>
  <c r="F103" i="30"/>
  <c r="F104" i="30"/>
  <c r="F105" i="30"/>
  <c r="F106" i="30"/>
  <c r="F107" i="30"/>
  <c r="F96" i="30"/>
  <c r="F84" i="30"/>
  <c r="B11" i="31" l="1"/>
  <c r="I91" i="31"/>
  <c r="I83" i="31"/>
  <c r="I72" i="31"/>
  <c r="I99" i="31"/>
  <c r="I53" i="31"/>
  <c r="I95" i="31"/>
  <c r="I78" i="31"/>
  <c r="I37" i="31"/>
  <c r="I103" i="31"/>
  <c r="I87" i="31"/>
  <c r="I34" i="31"/>
  <c r="I38" i="31"/>
  <c r="I42" i="31"/>
  <c r="I46" i="31"/>
  <c r="I50" i="31"/>
  <c r="I54" i="31"/>
  <c r="I58" i="31"/>
  <c r="I62" i="31"/>
  <c r="I66" i="31"/>
  <c r="I70" i="31"/>
  <c r="I74" i="31"/>
  <c r="I35" i="31"/>
  <c r="I39" i="31"/>
  <c r="I43" i="31"/>
  <c r="I47" i="31"/>
  <c r="I51" i="31"/>
  <c r="I55" i="31"/>
  <c r="I59" i="31"/>
  <c r="I63" i="31"/>
  <c r="I67" i="31"/>
  <c r="I71" i="31"/>
  <c r="I75" i="31"/>
  <c r="I79" i="31"/>
  <c r="I36" i="31"/>
  <c r="I40" i="31"/>
  <c r="I44" i="31"/>
  <c r="I48" i="31"/>
  <c r="I52" i="31"/>
  <c r="I56" i="31"/>
  <c r="H33" i="31"/>
  <c r="I102" i="31"/>
  <c r="I98" i="31"/>
  <c r="I94" i="31"/>
  <c r="I90" i="31"/>
  <c r="I86" i="31"/>
  <c r="I82" i="31"/>
  <c r="I77" i="31"/>
  <c r="I69" i="31"/>
  <c r="I61" i="31"/>
  <c r="I49" i="31"/>
  <c r="I33" i="31"/>
  <c r="I101" i="31"/>
  <c r="I97" i="31"/>
  <c r="I93" i="31"/>
  <c r="I89" i="31"/>
  <c r="I85" i="31"/>
  <c r="I81" i="31"/>
  <c r="I76" i="31"/>
  <c r="I68" i="31"/>
  <c r="I60" i="31"/>
  <c r="I45" i="31"/>
  <c r="D33" i="31"/>
  <c r="I104" i="31"/>
  <c r="I100" i="31"/>
  <c r="I96" i="31"/>
  <c r="I92" i="31"/>
  <c r="I88" i="31"/>
  <c r="I84" i="31"/>
  <c r="I80" i="31"/>
  <c r="I73" i="31"/>
  <c r="I65" i="31"/>
  <c r="I57" i="31"/>
  <c r="I41" i="31"/>
  <c r="A5" i="31"/>
  <c r="A4" i="31"/>
  <c r="P229" i="26"/>
  <c r="H229" i="26"/>
  <c r="G229" i="26"/>
  <c r="F229" i="26"/>
  <c r="E229" i="26"/>
  <c r="P228" i="26"/>
  <c r="H228" i="26"/>
  <c r="G228" i="26"/>
  <c r="F228" i="26"/>
  <c r="E228" i="26"/>
  <c r="P227" i="26"/>
  <c r="H227" i="26"/>
  <c r="G227" i="26"/>
  <c r="F227" i="26"/>
  <c r="E227" i="26"/>
  <c r="P226" i="26"/>
  <c r="H226" i="26"/>
  <c r="G226" i="26"/>
  <c r="F226" i="26"/>
  <c r="E226" i="26"/>
  <c r="P225" i="26"/>
  <c r="H225" i="26"/>
  <c r="G225" i="26"/>
  <c r="F225" i="26"/>
  <c r="E225" i="26"/>
  <c r="P224" i="26"/>
  <c r="H224" i="26"/>
  <c r="G224" i="26"/>
  <c r="F224" i="26"/>
  <c r="E224" i="26"/>
  <c r="Q223" i="26"/>
  <c r="P223" i="26"/>
  <c r="H223" i="26"/>
  <c r="G223" i="26"/>
  <c r="F223" i="26"/>
  <c r="E223" i="26"/>
  <c r="P222" i="26"/>
  <c r="H222" i="26"/>
  <c r="G222" i="26"/>
  <c r="F222" i="26"/>
  <c r="E222" i="26"/>
  <c r="P221" i="26"/>
  <c r="H221" i="26"/>
  <c r="G221" i="26"/>
  <c r="F221" i="26"/>
  <c r="E221" i="26"/>
  <c r="Q220" i="26"/>
  <c r="P220" i="26"/>
  <c r="H220" i="26"/>
  <c r="G220" i="26"/>
  <c r="F220" i="26"/>
  <c r="E220" i="26"/>
  <c r="Q219" i="26"/>
  <c r="P219" i="26"/>
  <c r="H219" i="26"/>
  <c r="G219" i="26"/>
  <c r="F219" i="26"/>
  <c r="E219" i="26"/>
  <c r="Q218" i="26"/>
  <c r="P218" i="26"/>
  <c r="H218" i="26"/>
  <c r="G218" i="26"/>
  <c r="F218" i="26"/>
  <c r="E218" i="26"/>
  <c r="P217" i="26"/>
  <c r="H217" i="26"/>
  <c r="G217" i="26"/>
  <c r="F217" i="26"/>
  <c r="E217" i="26"/>
  <c r="P216" i="26"/>
  <c r="H216" i="26"/>
  <c r="G216" i="26"/>
  <c r="F216" i="26"/>
  <c r="E216" i="26"/>
  <c r="Q215" i="26"/>
  <c r="P215" i="26"/>
  <c r="H215" i="26"/>
  <c r="G215" i="26"/>
  <c r="F215" i="26"/>
  <c r="E215" i="26"/>
  <c r="P214" i="26"/>
  <c r="H214" i="26"/>
  <c r="G214" i="26"/>
  <c r="F214" i="26"/>
  <c r="E214" i="26"/>
  <c r="Q213" i="26"/>
  <c r="P213" i="26"/>
  <c r="H213" i="26"/>
  <c r="G213" i="26"/>
  <c r="F213" i="26"/>
  <c r="E213" i="26"/>
  <c r="P212" i="26"/>
  <c r="H212" i="26"/>
  <c r="G212" i="26"/>
  <c r="F212" i="26"/>
  <c r="E212" i="26"/>
  <c r="P211" i="26"/>
  <c r="H211" i="26"/>
  <c r="G211" i="26"/>
  <c r="F211" i="26"/>
  <c r="E211" i="26"/>
  <c r="P210" i="26"/>
  <c r="H210" i="26"/>
  <c r="G210" i="26"/>
  <c r="F210" i="26"/>
  <c r="E210" i="26"/>
  <c r="P209" i="26"/>
  <c r="H209" i="26"/>
  <c r="G209" i="26"/>
  <c r="F209" i="26"/>
  <c r="E209" i="26"/>
  <c r="P208" i="26"/>
  <c r="H208" i="26"/>
  <c r="G208" i="26"/>
  <c r="F208" i="26"/>
  <c r="E208" i="26"/>
  <c r="P207" i="26"/>
  <c r="H207" i="26"/>
  <c r="G207" i="26"/>
  <c r="F207" i="26"/>
  <c r="E207" i="26"/>
  <c r="P206" i="26"/>
  <c r="H206" i="26"/>
  <c r="G206" i="26"/>
  <c r="F206" i="26"/>
  <c r="E206" i="26"/>
  <c r="P205" i="26"/>
  <c r="H205" i="26"/>
  <c r="G205" i="26"/>
  <c r="F205" i="26"/>
  <c r="E205" i="26"/>
  <c r="P204" i="26"/>
  <c r="H204" i="26"/>
  <c r="G204" i="26"/>
  <c r="F204" i="26"/>
  <c r="E204" i="26"/>
  <c r="P203" i="26"/>
  <c r="H203" i="26"/>
  <c r="G203" i="26"/>
  <c r="F203" i="26"/>
  <c r="E203" i="26"/>
  <c r="P202" i="26"/>
  <c r="H202" i="26"/>
  <c r="G202" i="26"/>
  <c r="F202" i="26"/>
  <c r="E202" i="26"/>
  <c r="P201" i="26"/>
  <c r="H201" i="26"/>
  <c r="G201" i="26"/>
  <c r="F201" i="26"/>
  <c r="E201" i="26"/>
  <c r="P200" i="26"/>
  <c r="H200" i="26"/>
  <c r="G200" i="26"/>
  <c r="F200" i="26"/>
  <c r="E200" i="26"/>
  <c r="P193" i="26"/>
  <c r="H193" i="26"/>
  <c r="G193" i="26"/>
  <c r="F193" i="26"/>
  <c r="E193" i="26"/>
  <c r="P199" i="26"/>
  <c r="H199" i="26"/>
  <c r="G199" i="26"/>
  <c r="F199" i="26"/>
  <c r="E199" i="26"/>
  <c r="P198" i="26"/>
  <c r="H198" i="26"/>
  <c r="G198" i="26"/>
  <c r="F198" i="26"/>
  <c r="E198" i="26"/>
  <c r="P197" i="26"/>
  <c r="H197" i="26"/>
  <c r="G197" i="26"/>
  <c r="F197" i="26"/>
  <c r="E197" i="26"/>
  <c r="P196" i="26"/>
  <c r="H196" i="26"/>
  <c r="G196" i="26"/>
  <c r="F196" i="26"/>
  <c r="E196" i="26"/>
  <c r="P195" i="26"/>
  <c r="H195" i="26"/>
  <c r="G195" i="26"/>
  <c r="F195" i="26"/>
  <c r="E195" i="26"/>
  <c r="P194" i="26"/>
  <c r="H194" i="26"/>
  <c r="G194" i="26"/>
  <c r="F194" i="26"/>
  <c r="E194" i="26"/>
  <c r="P192" i="26"/>
  <c r="H192" i="26"/>
  <c r="G192" i="26"/>
  <c r="F192" i="26"/>
  <c r="E192" i="26"/>
  <c r="P191" i="26"/>
  <c r="H191" i="26"/>
  <c r="G191" i="26"/>
  <c r="F191" i="26"/>
  <c r="E191" i="26"/>
  <c r="P190" i="26"/>
  <c r="H190" i="26"/>
  <c r="G190" i="26"/>
  <c r="F190" i="26"/>
  <c r="E190" i="26"/>
  <c r="P189" i="26"/>
  <c r="H189" i="26"/>
  <c r="G189" i="26"/>
  <c r="F189" i="26"/>
  <c r="E189" i="26"/>
  <c r="P188" i="26"/>
  <c r="H188" i="26"/>
  <c r="G188" i="26"/>
  <c r="F188" i="26"/>
  <c r="E188" i="26"/>
  <c r="P187" i="26"/>
  <c r="H187" i="26"/>
  <c r="G187" i="26"/>
  <c r="F187" i="26"/>
  <c r="E187" i="26"/>
  <c r="P186" i="26"/>
  <c r="H186" i="26"/>
  <c r="G186" i="26"/>
  <c r="F186" i="26"/>
  <c r="E186" i="26"/>
  <c r="P185" i="26"/>
  <c r="H185" i="26"/>
  <c r="G185" i="26"/>
  <c r="F185" i="26"/>
  <c r="E185" i="26"/>
  <c r="P184" i="26"/>
  <c r="H184" i="26"/>
  <c r="G184" i="26"/>
  <c r="F184" i="26"/>
  <c r="E184" i="26"/>
  <c r="P183" i="26"/>
  <c r="H183" i="26"/>
  <c r="G183" i="26"/>
  <c r="F183" i="26"/>
  <c r="E183" i="26"/>
  <c r="Q182" i="26"/>
  <c r="P182" i="26"/>
  <c r="H182" i="26"/>
  <c r="G182" i="26"/>
  <c r="F182" i="26"/>
  <c r="E182" i="26"/>
  <c r="P181" i="26"/>
  <c r="H181" i="26"/>
  <c r="G181" i="26"/>
  <c r="F181" i="26"/>
  <c r="E181" i="26"/>
  <c r="P180" i="26"/>
  <c r="H180" i="26"/>
  <c r="G180" i="26"/>
  <c r="F180" i="26"/>
  <c r="E180" i="26"/>
  <c r="P179" i="26"/>
  <c r="H179" i="26"/>
  <c r="G179" i="26"/>
  <c r="F179" i="26"/>
  <c r="E179" i="26"/>
  <c r="P178" i="26"/>
  <c r="H178" i="26"/>
  <c r="G178" i="26"/>
  <c r="F178" i="26"/>
  <c r="E178" i="26"/>
  <c r="P177" i="26"/>
  <c r="H177" i="26"/>
  <c r="G177" i="26"/>
  <c r="F177" i="26"/>
  <c r="E177" i="26"/>
  <c r="P176" i="26"/>
  <c r="H176" i="26"/>
  <c r="G176" i="26"/>
  <c r="F176" i="26"/>
  <c r="E176" i="26"/>
  <c r="P175" i="26"/>
  <c r="H175" i="26"/>
  <c r="G175" i="26"/>
  <c r="F175" i="26"/>
  <c r="E175" i="26"/>
  <c r="P174" i="26"/>
  <c r="H174" i="26"/>
  <c r="G174" i="26"/>
  <c r="F174" i="26"/>
  <c r="E174" i="26"/>
  <c r="P173" i="26"/>
  <c r="H173" i="26"/>
  <c r="G173" i="26"/>
  <c r="F173" i="26"/>
  <c r="E173" i="26"/>
  <c r="P172" i="26"/>
  <c r="H172" i="26"/>
  <c r="G172" i="26"/>
  <c r="F172" i="26"/>
  <c r="E172" i="26"/>
  <c r="P171" i="26"/>
  <c r="H171" i="26"/>
  <c r="G171" i="26"/>
  <c r="F171" i="26"/>
  <c r="E171" i="26"/>
  <c r="P170" i="26"/>
  <c r="H170" i="26"/>
  <c r="G170" i="26"/>
  <c r="F170" i="26"/>
  <c r="E170" i="26"/>
  <c r="P169" i="26"/>
  <c r="H169" i="26"/>
  <c r="G169" i="26"/>
  <c r="F169" i="26"/>
  <c r="E169" i="26"/>
  <c r="P168" i="26"/>
  <c r="H168" i="26"/>
  <c r="G168" i="26"/>
  <c r="F168" i="26"/>
  <c r="E168" i="26"/>
  <c r="P167" i="26"/>
  <c r="H167" i="26"/>
  <c r="G167" i="26"/>
  <c r="F167" i="26"/>
  <c r="E167" i="26"/>
  <c r="P166" i="26"/>
  <c r="H166" i="26"/>
  <c r="G166" i="26"/>
  <c r="F166" i="26"/>
  <c r="E166" i="26"/>
  <c r="P165" i="26"/>
  <c r="H165" i="26"/>
  <c r="G165" i="26"/>
  <c r="F165" i="26"/>
  <c r="E165" i="26"/>
  <c r="P164" i="26"/>
  <c r="H164" i="26"/>
  <c r="G164" i="26"/>
  <c r="F164" i="26"/>
  <c r="E164" i="26"/>
  <c r="P163" i="26"/>
  <c r="H163" i="26"/>
  <c r="G163" i="26"/>
  <c r="F163" i="26"/>
  <c r="E163" i="26"/>
  <c r="P162" i="26"/>
  <c r="H162" i="26"/>
  <c r="G162" i="26"/>
  <c r="F162" i="26"/>
  <c r="E162" i="26"/>
  <c r="P161" i="26"/>
  <c r="H161" i="26"/>
  <c r="G161" i="26"/>
  <c r="F161" i="26"/>
  <c r="E161" i="26"/>
  <c r="P160" i="26"/>
  <c r="H160" i="26"/>
  <c r="G160" i="26"/>
  <c r="F160" i="26"/>
  <c r="E160" i="26"/>
  <c r="P159" i="26"/>
  <c r="H159" i="26"/>
  <c r="G159" i="26"/>
  <c r="F159" i="26"/>
  <c r="E159" i="26"/>
  <c r="P158" i="26"/>
  <c r="H158" i="26"/>
  <c r="G158" i="26"/>
  <c r="F158" i="26"/>
  <c r="E158" i="26"/>
  <c r="P157" i="26"/>
  <c r="H157" i="26"/>
  <c r="G157" i="26"/>
  <c r="F157" i="26"/>
  <c r="E157" i="26"/>
  <c r="P156" i="26"/>
  <c r="H156" i="26"/>
  <c r="G156" i="26"/>
  <c r="F156" i="26"/>
  <c r="E156" i="26"/>
  <c r="P155" i="26"/>
  <c r="H155" i="26"/>
  <c r="G155" i="26"/>
  <c r="F155" i="26"/>
  <c r="E155" i="26"/>
  <c r="P154" i="26"/>
  <c r="H154" i="26"/>
  <c r="G154" i="26"/>
  <c r="F154" i="26"/>
  <c r="E154" i="26"/>
  <c r="P153" i="26"/>
  <c r="H153" i="26"/>
  <c r="G153" i="26"/>
  <c r="F153" i="26"/>
  <c r="E153" i="26"/>
  <c r="P152" i="26"/>
  <c r="H152" i="26"/>
  <c r="G152" i="26"/>
  <c r="F152" i="26"/>
  <c r="E152" i="26"/>
  <c r="P151" i="26"/>
  <c r="H151" i="26"/>
  <c r="G151" i="26"/>
  <c r="F151" i="26"/>
  <c r="E151" i="26"/>
  <c r="P150" i="26"/>
  <c r="H150" i="26"/>
  <c r="G150" i="26"/>
  <c r="F150" i="26"/>
  <c r="E150" i="26"/>
  <c r="P149" i="26"/>
  <c r="H149" i="26"/>
  <c r="G149" i="26"/>
  <c r="F149" i="26"/>
  <c r="E149" i="26"/>
  <c r="P148" i="26"/>
  <c r="H148" i="26"/>
  <c r="G148" i="26"/>
  <c r="F148" i="26"/>
  <c r="E148" i="26"/>
  <c r="P147" i="26"/>
  <c r="H147" i="26"/>
  <c r="G147" i="26"/>
  <c r="F147" i="26"/>
  <c r="E147" i="26"/>
  <c r="P146" i="26"/>
  <c r="H146" i="26"/>
  <c r="G146" i="26"/>
  <c r="F146" i="26"/>
  <c r="E146" i="26"/>
  <c r="P144" i="26"/>
  <c r="H144" i="26"/>
  <c r="G144" i="26"/>
  <c r="F144" i="26"/>
  <c r="E144" i="26"/>
  <c r="P143" i="26"/>
  <c r="H143" i="26"/>
  <c r="G143" i="26"/>
  <c r="F143" i="26"/>
  <c r="E143" i="26"/>
  <c r="P142" i="26"/>
  <c r="H142" i="26"/>
  <c r="G142" i="26"/>
  <c r="F142" i="26"/>
  <c r="E142" i="26"/>
  <c r="P141" i="26"/>
  <c r="H141" i="26"/>
  <c r="G141" i="26"/>
  <c r="F141" i="26"/>
  <c r="E141" i="26"/>
  <c r="P140" i="26"/>
  <c r="H140" i="26"/>
  <c r="G140" i="26"/>
  <c r="F140" i="26"/>
  <c r="E140" i="26"/>
  <c r="P139" i="26"/>
  <c r="H139" i="26"/>
  <c r="G139" i="26"/>
  <c r="F139" i="26"/>
  <c r="E139" i="26"/>
  <c r="P138" i="26"/>
  <c r="H138" i="26"/>
  <c r="G138" i="26"/>
  <c r="F138" i="26"/>
  <c r="E138" i="26"/>
  <c r="P137" i="26"/>
  <c r="H137" i="26"/>
  <c r="G137" i="26"/>
  <c r="F137" i="26"/>
  <c r="E137" i="26"/>
  <c r="P136" i="26"/>
  <c r="H136" i="26"/>
  <c r="G136" i="26"/>
  <c r="F136" i="26"/>
  <c r="E136" i="26"/>
  <c r="P135" i="26"/>
  <c r="H135" i="26"/>
  <c r="G135" i="26"/>
  <c r="F135" i="26"/>
  <c r="E135" i="26"/>
  <c r="P134" i="26"/>
  <c r="H134" i="26"/>
  <c r="G134" i="26"/>
  <c r="F134" i="26"/>
  <c r="E134" i="26"/>
  <c r="P133" i="26"/>
  <c r="H133" i="26"/>
  <c r="G133" i="26"/>
  <c r="F133" i="26"/>
  <c r="E133" i="26"/>
  <c r="P132" i="26"/>
  <c r="H132" i="26"/>
  <c r="G132" i="26"/>
  <c r="F132" i="26"/>
  <c r="E132" i="26"/>
  <c r="P131" i="26"/>
  <c r="H131" i="26"/>
  <c r="G131" i="26"/>
  <c r="F131" i="26"/>
  <c r="E131" i="26"/>
  <c r="P130" i="26"/>
  <c r="H130" i="26"/>
  <c r="G130" i="26"/>
  <c r="F130" i="26"/>
  <c r="E130" i="26"/>
  <c r="P129" i="26"/>
  <c r="H129" i="26"/>
  <c r="G129" i="26"/>
  <c r="F129" i="26"/>
  <c r="E129" i="26"/>
  <c r="Q128" i="26"/>
  <c r="P128" i="26"/>
  <c r="H128" i="26"/>
  <c r="G128" i="26"/>
  <c r="F128" i="26"/>
  <c r="E128" i="26"/>
  <c r="P127" i="26"/>
  <c r="H127" i="26"/>
  <c r="G127" i="26"/>
  <c r="F127" i="26"/>
  <c r="E127" i="26"/>
  <c r="P126" i="26"/>
  <c r="H126" i="26"/>
  <c r="G126" i="26"/>
  <c r="F126" i="26"/>
  <c r="E126" i="26"/>
  <c r="P125" i="26"/>
  <c r="H125" i="26"/>
  <c r="G125" i="26"/>
  <c r="F125" i="26"/>
  <c r="E125" i="26"/>
  <c r="P124" i="26"/>
  <c r="H124" i="26"/>
  <c r="G124" i="26"/>
  <c r="F124" i="26"/>
  <c r="E124" i="26"/>
  <c r="P123" i="26"/>
  <c r="H123" i="26"/>
  <c r="G123" i="26"/>
  <c r="F123" i="26"/>
  <c r="E123" i="26"/>
  <c r="P122" i="26"/>
  <c r="H122" i="26"/>
  <c r="G122" i="26"/>
  <c r="F122" i="26"/>
  <c r="E122" i="26"/>
  <c r="P121" i="26"/>
  <c r="H121" i="26"/>
  <c r="G121" i="26"/>
  <c r="F121" i="26"/>
  <c r="E121" i="26"/>
  <c r="P120" i="26"/>
  <c r="H120" i="26"/>
  <c r="G120" i="26"/>
  <c r="F120" i="26"/>
  <c r="E120" i="26"/>
  <c r="P119" i="26"/>
  <c r="H119" i="26"/>
  <c r="G119" i="26"/>
  <c r="F119" i="26"/>
  <c r="E119" i="26"/>
  <c r="P118" i="26"/>
  <c r="H118" i="26"/>
  <c r="G118" i="26"/>
  <c r="F118" i="26"/>
  <c r="E118" i="26"/>
  <c r="P117" i="26"/>
  <c r="H117" i="26"/>
  <c r="G117" i="26"/>
  <c r="F117" i="26"/>
  <c r="E117" i="26"/>
  <c r="P116" i="26"/>
  <c r="H116" i="26"/>
  <c r="G116" i="26"/>
  <c r="F116" i="26"/>
  <c r="E116" i="26"/>
  <c r="P115" i="26"/>
  <c r="H115" i="26"/>
  <c r="G115" i="26"/>
  <c r="F115" i="26"/>
  <c r="E115" i="26"/>
  <c r="P114" i="26"/>
  <c r="H114" i="26"/>
  <c r="G114" i="26"/>
  <c r="F114" i="26"/>
  <c r="E114" i="26"/>
  <c r="P113" i="26"/>
  <c r="H113" i="26"/>
  <c r="G113" i="26"/>
  <c r="F113" i="26"/>
  <c r="E113" i="26"/>
  <c r="P112" i="26"/>
  <c r="H112" i="26"/>
  <c r="G112" i="26"/>
  <c r="F112" i="26"/>
  <c r="E112" i="26"/>
  <c r="Q111" i="26"/>
  <c r="P111" i="26"/>
  <c r="H111" i="26"/>
  <c r="G111" i="26"/>
  <c r="F111" i="26"/>
  <c r="E111" i="26"/>
  <c r="P110" i="26"/>
  <c r="H110" i="26"/>
  <c r="G110" i="26"/>
  <c r="F110" i="26"/>
  <c r="E110" i="26"/>
  <c r="P109" i="26"/>
  <c r="H109" i="26"/>
  <c r="G109" i="26"/>
  <c r="F109" i="26"/>
  <c r="E109" i="26"/>
  <c r="P108" i="26"/>
  <c r="H108" i="26"/>
  <c r="G108" i="26"/>
  <c r="F108" i="26"/>
  <c r="E108" i="26"/>
  <c r="P107" i="26"/>
  <c r="H107" i="26"/>
  <c r="G107" i="26"/>
  <c r="F107" i="26"/>
  <c r="E107" i="26"/>
  <c r="P106" i="26"/>
  <c r="H106" i="26"/>
  <c r="G106" i="26"/>
  <c r="F106" i="26"/>
  <c r="E106" i="26"/>
  <c r="P105" i="26"/>
  <c r="H105" i="26"/>
  <c r="G105" i="26"/>
  <c r="F105" i="26"/>
  <c r="E105" i="26"/>
  <c r="P104" i="26"/>
  <c r="H104" i="26"/>
  <c r="G104" i="26"/>
  <c r="F104" i="26"/>
  <c r="E104" i="26"/>
  <c r="P103" i="26"/>
  <c r="H103" i="26"/>
  <c r="G103" i="26"/>
  <c r="F103" i="26"/>
  <c r="E103" i="26"/>
  <c r="P102" i="26"/>
  <c r="H102" i="26"/>
  <c r="G102" i="26"/>
  <c r="F102" i="26"/>
  <c r="E102" i="26"/>
  <c r="Q101" i="26"/>
  <c r="P101" i="26"/>
  <c r="H101" i="26"/>
  <c r="G101" i="26"/>
  <c r="F101" i="26"/>
  <c r="E101" i="26"/>
  <c r="P100" i="26"/>
  <c r="H100" i="26"/>
  <c r="G100" i="26"/>
  <c r="F100" i="26"/>
  <c r="E100" i="26"/>
  <c r="P99" i="26"/>
  <c r="H99" i="26"/>
  <c r="G99" i="26"/>
  <c r="F99" i="26"/>
  <c r="E99" i="26"/>
  <c r="P98" i="26"/>
  <c r="H98" i="26"/>
  <c r="G98" i="26"/>
  <c r="F98" i="26"/>
  <c r="E98" i="26"/>
  <c r="P97" i="26"/>
  <c r="H97" i="26"/>
  <c r="G97" i="26"/>
  <c r="F97" i="26"/>
  <c r="E97" i="26"/>
  <c r="P96" i="26"/>
  <c r="H96" i="26"/>
  <c r="G96" i="26"/>
  <c r="F96" i="26"/>
  <c r="E96" i="26"/>
  <c r="P95" i="26"/>
  <c r="H95" i="26"/>
  <c r="G95" i="26"/>
  <c r="F95" i="26"/>
  <c r="E95" i="26"/>
  <c r="P94" i="26"/>
  <c r="H94" i="26"/>
  <c r="G94" i="26"/>
  <c r="F94" i="26"/>
  <c r="E94" i="26"/>
  <c r="P93" i="26"/>
  <c r="H93" i="26"/>
  <c r="G93" i="26"/>
  <c r="F93" i="26"/>
  <c r="E93" i="26"/>
  <c r="P92" i="26"/>
  <c r="H92" i="26"/>
  <c r="G92" i="26"/>
  <c r="F92" i="26"/>
  <c r="E92" i="26"/>
  <c r="P91" i="26"/>
  <c r="H91" i="26"/>
  <c r="G91" i="26"/>
  <c r="F91" i="26"/>
  <c r="E91" i="26"/>
  <c r="P90" i="26"/>
  <c r="H90" i="26"/>
  <c r="G90" i="26"/>
  <c r="F90" i="26"/>
  <c r="E90" i="26"/>
  <c r="P89" i="26"/>
  <c r="H89" i="26"/>
  <c r="G89" i="26"/>
  <c r="F89" i="26"/>
  <c r="E89" i="26"/>
  <c r="P88" i="26"/>
  <c r="H88" i="26"/>
  <c r="G88" i="26"/>
  <c r="F88" i="26"/>
  <c r="E88" i="26"/>
  <c r="P87" i="26"/>
  <c r="H87" i="26"/>
  <c r="G87" i="26"/>
  <c r="F87" i="26"/>
  <c r="E87" i="26"/>
  <c r="P86" i="26"/>
  <c r="H86" i="26"/>
  <c r="G86" i="26"/>
  <c r="F86" i="26"/>
  <c r="E86" i="26"/>
  <c r="P85" i="26"/>
  <c r="H85" i="26"/>
  <c r="G85" i="26"/>
  <c r="F85" i="26"/>
  <c r="E85" i="26"/>
  <c r="P84" i="26"/>
  <c r="H84" i="26"/>
  <c r="G84" i="26"/>
  <c r="F84" i="26"/>
  <c r="E84" i="26"/>
  <c r="P83" i="26"/>
  <c r="H83" i="26"/>
  <c r="G83" i="26"/>
  <c r="F83" i="26"/>
  <c r="E83" i="26"/>
  <c r="P82" i="26"/>
  <c r="H82" i="26"/>
  <c r="G82" i="26"/>
  <c r="F82" i="26"/>
  <c r="E82" i="26"/>
  <c r="P81" i="26"/>
  <c r="H81" i="26"/>
  <c r="G81" i="26"/>
  <c r="F81" i="26"/>
  <c r="E81" i="26"/>
  <c r="P80" i="26"/>
  <c r="H80" i="26"/>
  <c r="G80" i="26"/>
  <c r="F80" i="26"/>
  <c r="E80" i="26"/>
  <c r="P79" i="26"/>
  <c r="H79" i="26"/>
  <c r="G79" i="26"/>
  <c r="F79" i="26"/>
  <c r="E79" i="26"/>
  <c r="Q78" i="26"/>
  <c r="P78" i="26"/>
  <c r="H78" i="26"/>
  <c r="G78" i="26"/>
  <c r="F78" i="26"/>
  <c r="E78" i="26"/>
  <c r="P77" i="26"/>
  <c r="H77" i="26"/>
  <c r="G77" i="26"/>
  <c r="F77" i="26"/>
  <c r="E77" i="26"/>
  <c r="P76" i="26"/>
  <c r="H76" i="26"/>
  <c r="G76" i="26"/>
  <c r="F76" i="26"/>
  <c r="E76" i="26"/>
  <c r="P75" i="26"/>
  <c r="H75" i="26"/>
  <c r="G75" i="26"/>
  <c r="F75" i="26"/>
  <c r="E75" i="26"/>
  <c r="P74" i="26"/>
  <c r="H74" i="26"/>
  <c r="G74" i="26"/>
  <c r="F74" i="26"/>
  <c r="E74" i="26"/>
  <c r="P73" i="26"/>
  <c r="H73" i="26"/>
  <c r="G73" i="26"/>
  <c r="F73" i="26"/>
  <c r="E73" i="26"/>
  <c r="P72" i="26"/>
  <c r="H72" i="26"/>
  <c r="G72" i="26"/>
  <c r="F72" i="26"/>
  <c r="E72" i="26"/>
  <c r="P71" i="26"/>
  <c r="H71" i="26"/>
  <c r="G71" i="26"/>
  <c r="F71" i="26"/>
  <c r="E71" i="26"/>
  <c r="P70" i="26"/>
  <c r="H70" i="26"/>
  <c r="G70" i="26"/>
  <c r="F70" i="26"/>
  <c r="E70" i="26"/>
  <c r="P69" i="26"/>
  <c r="H69" i="26"/>
  <c r="G69" i="26"/>
  <c r="F69" i="26"/>
  <c r="E69" i="26"/>
  <c r="P68" i="26"/>
  <c r="H68" i="26"/>
  <c r="G68" i="26"/>
  <c r="F68" i="26"/>
  <c r="E68" i="26"/>
  <c r="P67" i="26"/>
  <c r="H67" i="26"/>
  <c r="G67" i="26"/>
  <c r="F67" i="26"/>
  <c r="E67" i="26"/>
  <c r="Q66" i="26"/>
  <c r="P66" i="26"/>
  <c r="H66" i="26"/>
  <c r="G66" i="26"/>
  <c r="F66" i="26"/>
  <c r="E66" i="26"/>
  <c r="P65" i="26"/>
  <c r="H65" i="26"/>
  <c r="G65" i="26"/>
  <c r="F65" i="26"/>
  <c r="E65" i="26"/>
  <c r="P64" i="26"/>
  <c r="H64" i="26"/>
  <c r="G64" i="26"/>
  <c r="F64" i="26"/>
  <c r="E64" i="26"/>
  <c r="P63" i="26"/>
  <c r="H63" i="26"/>
  <c r="G63" i="26"/>
  <c r="F63" i="26"/>
  <c r="E63" i="26"/>
  <c r="P62" i="26"/>
  <c r="H62" i="26"/>
  <c r="G62" i="26"/>
  <c r="F62" i="26"/>
  <c r="E62" i="26"/>
  <c r="P61" i="26"/>
  <c r="H61" i="26"/>
  <c r="G61" i="26"/>
  <c r="F61" i="26"/>
  <c r="E61" i="26"/>
  <c r="P60" i="26"/>
  <c r="H60" i="26"/>
  <c r="G60" i="26"/>
  <c r="F60" i="26"/>
  <c r="E60" i="26"/>
  <c r="P59" i="26"/>
  <c r="H59" i="26"/>
  <c r="G59" i="26"/>
  <c r="F59" i="26"/>
  <c r="E59" i="26"/>
  <c r="P58" i="26"/>
  <c r="H58" i="26"/>
  <c r="G58" i="26"/>
  <c r="F58" i="26"/>
  <c r="E58" i="26"/>
  <c r="Q57" i="26"/>
  <c r="P57" i="26"/>
  <c r="H57" i="26"/>
  <c r="G57" i="26"/>
  <c r="F57" i="26"/>
  <c r="E57" i="26"/>
  <c r="P56" i="26"/>
  <c r="H56" i="26"/>
  <c r="G56" i="26"/>
  <c r="F56" i="26"/>
  <c r="E56" i="26"/>
  <c r="P55" i="26"/>
  <c r="H55" i="26"/>
  <c r="G55" i="26"/>
  <c r="F55" i="26"/>
  <c r="E55" i="26"/>
  <c r="P54" i="26"/>
  <c r="H54" i="26"/>
  <c r="G54" i="26"/>
  <c r="F54" i="26"/>
  <c r="E54" i="26"/>
  <c r="P53" i="26"/>
  <c r="H53" i="26"/>
  <c r="G53" i="26"/>
  <c r="F53" i="26"/>
  <c r="E53" i="26"/>
  <c r="P52" i="26"/>
  <c r="H52" i="26"/>
  <c r="G52" i="26"/>
  <c r="F52" i="26"/>
  <c r="E52" i="26"/>
  <c r="P51" i="26"/>
  <c r="H51" i="26"/>
  <c r="G51" i="26"/>
  <c r="F51" i="26"/>
  <c r="E51" i="26"/>
  <c r="P50" i="26"/>
  <c r="H50" i="26"/>
  <c r="G50" i="26"/>
  <c r="F50" i="26"/>
  <c r="E50" i="26"/>
  <c r="P49" i="26"/>
  <c r="H49" i="26"/>
  <c r="G49" i="26"/>
  <c r="F49" i="26"/>
  <c r="E49" i="26"/>
  <c r="P48" i="26"/>
  <c r="H48" i="26"/>
  <c r="G48" i="26"/>
  <c r="F48" i="26"/>
  <c r="E48" i="26"/>
  <c r="P47" i="26"/>
  <c r="H47" i="26"/>
  <c r="G47" i="26"/>
  <c r="F47" i="26"/>
  <c r="E47" i="26"/>
  <c r="P46" i="26"/>
  <c r="H46" i="26"/>
  <c r="G46" i="26"/>
  <c r="F46" i="26"/>
  <c r="E46" i="26"/>
  <c r="P45" i="26"/>
  <c r="H45" i="26"/>
  <c r="G45" i="26"/>
  <c r="F45" i="26"/>
  <c r="E45" i="26"/>
  <c r="P44" i="26"/>
  <c r="H44" i="26"/>
  <c r="G44" i="26"/>
  <c r="F44" i="26"/>
  <c r="E44" i="26"/>
  <c r="P43" i="26"/>
  <c r="H43" i="26"/>
  <c r="G43" i="26"/>
  <c r="F43" i="26"/>
  <c r="E43" i="26"/>
  <c r="Q42" i="26"/>
  <c r="P42" i="26"/>
  <c r="H42" i="26"/>
  <c r="G42" i="26"/>
  <c r="F42" i="26"/>
  <c r="E42" i="26"/>
  <c r="Q41" i="26"/>
  <c r="P41" i="26"/>
  <c r="H41" i="26"/>
  <c r="G41" i="26"/>
  <c r="F41" i="26"/>
  <c r="E41" i="26"/>
  <c r="P40" i="26"/>
  <c r="H40" i="26"/>
  <c r="G40" i="26"/>
  <c r="F40" i="26"/>
  <c r="E40" i="26"/>
  <c r="P39" i="26"/>
  <c r="H39" i="26"/>
  <c r="G39" i="26"/>
  <c r="F39" i="26"/>
  <c r="E39" i="26"/>
  <c r="P38" i="26"/>
  <c r="H38" i="26"/>
  <c r="G38" i="26"/>
  <c r="F38" i="26"/>
  <c r="E38" i="26"/>
  <c r="P37" i="26"/>
  <c r="H37" i="26"/>
  <c r="G37" i="26"/>
  <c r="F37" i="26"/>
  <c r="E37" i="26"/>
  <c r="P36" i="26"/>
  <c r="H36" i="26"/>
  <c r="G36" i="26"/>
  <c r="F36" i="26"/>
  <c r="E36" i="26"/>
  <c r="P35" i="26"/>
  <c r="H35" i="26"/>
  <c r="G35" i="26"/>
  <c r="F35" i="26"/>
  <c r="E35" i="26"/>
  <c r="P34" i="26"/>
  <c r="H34" i="26"/>
  <c r="G34" i="26"/>
  <c r="F34" i="26"/>
  <c r="E34" i="26"/>
  <c r="P33" i="26"/>
  <c r="H33" i="26"/>
  <c r="G33" i="26"/>
  <c r="F33" i="26"/>
  <c r="E33" i="26"/>
  <c r="P32" i="26"/>
  <c r="H32" i="26"/>
  <c r="G32" i="26"/>
  <c r="F32" i="26"/>
  <c r="E32" i="26"/>
  <c r="P31" i="26"/>
  <c r="H31" i="26"/>
  <c r="G31" i="26"/>
  <c r="F31" i="26"/>
  <c r="E31" i="26"/>
  <c r="P30" i="26"/>
  <c r="H30" i="26"/>
  <c r="G30" i="26"/>
  <c r="F30" i="26"/>
  <c r="E30" i="26"/>
  <c r="Q29" i="26"/>
  <c r="P29" i="26"/>
  <c r="H29" i="26"/>
  <c r="G29" i="26"/>
  <c r="F29" i="26"/>
  <c r="E29" i="26"/>
  <c r="P28" i="26"/>
  <c r="H28" i="26"/>
  <c r="G28" i="26"/>
  <c r="F28" i="26"/>
  <c r="E28" i="26"/>
  <c r="P27" i="26"/>
  <c r="H27" i="26"/>
  <c r="G27" i="26"/>
  <c r="F27" i="26"/>
  <c r="E27" i="26"/>
  <c r="P26" i="26"/>
  <c r="H26" i="26"/>
  <c r="G26" i="26"/>
  <c r="F26" i="26"/>
  <c r="E26" i="26"/>
  <c r="P25" i="26"/>
  <c r="H25" i="26"/>
  <c r="G25" i="26"/>
  <c r="F25" i="26"/>
  <c r="E25" i="26"/>
  <c r="P24" i="26"/>
  <c r="H24" i="26"/>
  <c r="G24" i="26"/>
  <c r="F24" i="26"/>
  <c r="E24" i="26"/>
  <c r="P23" i="26"/>
  <c r="H23" i="26"/>
  <c r="G23" i="26"/>
  <c r="F23" i="26"/>
  <c r="E23" i="26"/>
  <c r="P22" i="26"/>
  <c r="H22" i="26"/>
  <c r="G22" i="26"/>
  <c r="F22" i="26"/>
  <c r="E22" i="26"/>
  <c r="P21" i="26"/>
  <c r="H21" i="26"/>
  <c r="G21" i="26"/>
  <c r="F21" i="26"/>
  <c r="E21" i="26"/>
  <c r="P20" i="26"/>
  <c r="H20" i="26"/>
  <c r="G20" i="26"/>
  <c r="F20" i="26"/>
  <c r="E20" i="26"/>
  <c r="P19" i="26"/>
  <c r="H19" i="26"/>
  <c r="G19" i="26"/>
  <c r="F19" i="26"/>
  <c r="E19" i="26"/>
  <c r="P18" i="26"/>
  <c r="H18" i="26"/>
  <c r="G18" i="26"/>
  <c r="F18" i="26"/>
  <c r="E18" i="26"/>
  <c r="P17" i="26"/>
  <c r="H17" i="26"/>
  <c r="G17" i="26"/>
  <c r="F17" i="26"/>
  <c r="E17" i="26"/>
  <c r="P16" i="26"/>
  <c r="H16" i="26"/>
  <c r="G16" i="26"/>
  <c r="F16" i="26"/>
  <c r="E16" i="26"/>
  <c r="P15" i="26"/>
  <c r="H15" i="26"/>
  <c r="G15" i="26"/>
  <c r="F15" i="26"/>
  <c r="E15" i="26"/>
  <c r="P14" i="26"/>
  <c r="H14" i="26"/>
  <c r="G14" i="26"/>
  <c r="F14" i="26"/>
  <c r="E14" i="26"/>
  <c r="P13" i="26"/>
  <c r="H13" i="26"/>
  <c r="G13" i="26"/>
  <c r="F13" i="26"/>
  <c r="E13" i="26"/>
  <c r="P12" i="26"/>
  <c r="H12" i="26"/>
  <c r="G12" i="26"/>
  <c r="F12" i="26"/>
  <c r="E12" i="26"/>
  <c r="P11" i="26"/>
  <c r="H11" i="26"/>
  <c r="G11" i="26"/>
  <c r="F11" i="26"/>
  <c r="E11" i="26"/>
  <c r="P10" i="26"/>
  <c r="H10" i="26"/>
  <c r="G10" i="26"/>
  <c r="F10" i="26"/>
  <c r="E10" i="26"/>
  <c r="P9" i="26"/>
  <c r="H9" i="26"/>
  <c r="G9" i="26"/>
  <c r="F9" i="26"/>
  <c r="E9" i="26"/>
  <c r="Q8" i="26"/>
  <c r="P8" i="26"/>
  <c r="H8" i="26"/>
  <c r="G8" i="26"/>
  <c r="F8" i="26"/>
  <c r="E8" i="26"/>
  <c r="P7" i="26"/>
  <c r="H7" i="26"/>
  <c r="G7" i="26"/>
  <c r="F7" i="26"/>
  <c r="E7" i="26"/>
  <c r="P6" i="26"/>
  <c r="H6" i="26"/>
  <c r="G6" i="26"/>
  <c r="F6" i="26"/>
  <c r="E6" i="26"/>
  <c r="P5" i="26"/>
  <c r="H5" i="26"/>
  <c r="G5" i="26"/>
  <c r="F5" i="26"/>
  <c r="E5" i="26"/>
  <c r="P4" i="26"/>
  <c r="H4" i="26"/>
  <c r="G4" i="26"/>
  <c r="F4" i="26"/>
  <c r="E4" i="26"/>
  <c r="P3" i="26"/>
  <c r="H3" i="26"/>
  <c r="G3" i="26"/>
  <c r="F3" i="26"/>
  <c r="E3" i="26"/>
  <c r="P2" i="26"/>
  <c r="H2" i="26"/>
  <c r="G2" i="26"/>
  <c r="F2" i="26"/>
  <c r="E2" i="26"/>
  <c r="J51" i="31" l="1"/>
  <c r="J70" i="31"/>
  <c r="J67" i="31"/>
  <c r="J92" i="31"/>
  <c r="J85" i="31"/>
  <c r="J38" i="31"/>
  <c r="J47" i="31"/>
  <c r="J74" i="31"/>
  <c r="J88" i="31"/>
  <c r="J79" i="31"/>
  <c r="J72" i="31"/>
  <c r="J89" i="31"/>
  <c r="J90" i="31"/>
  <c r="J91" i="31"/>
  <c r="J56" i="31"/>
  <c r="J34" i="31"/>
  <c r="J86" i="31"/>
  <c r="J87" i="31"/>
  <c r="J60" i="31"/>
  <c r="J59" i="31"/>
  <c r="J62" i="31"/>
  <c r="J78" i="31"/>
  <c r="J96" i="31"/>
  <c r="J83" i="31"/>
  <c r="J76" i="31"/>
  <c r="J98" i="31"/>
  <c r="J93" i="31"/>
  <c r="J94" i="31"/>
  <c r="J95" i="31"/>
  <c r="J50" i="31"/>
  <c r="J52" i="31"/>
  <c r="J101" i="31"/>
  <c r="J102" i="31"/>
  <c r="J58" i="31"/>
  <c r="J65" i="31"/>
  <c r="J104" i="31"/>
  <c r="L104" i="31" s="1"/>
  <c r="J63" i="31"/>
  <c r="J80" i="31"/>
  <c r="J46" i="31"/>
  <c r="J49" i="31"/>
  <c r="J54" i="31"/>
  <c r="J44" i="31"/>
  <c r="J64" i="31"/>
  <c r="J45" i="31"/>
  <c r="J53" i="31"/>
  <c r="J69" i="31"/>
  <c r="J103" i="31"/>
  <c r="J55" i="31"/>
  <c r="J71" i="31"/>
  <c r="J99" i="31"/>
  <c r="J84" i="31"/>
  <c r="J100" i="31"/>
  <c r="J81" i="31"/>
  <c r="J97" i="31"/>
  <c r="J82" i="31"/>
  <c r="J48" i="31"/>
  <c r="J33" i="31"/>
  <c r="J57" i="31"/>
  <c r="J66" i="31"/>
  <c r="J75" i="31"/>
  <c r="J35" i="31"/>
  <c r="J43" i="31"/>
  <c r="J39" i="31"/>
  <c r="J36" i="31"/>
  <c r="J37" i="31"/>
  <c r="J68" i="31"/>
  <c r="J42" i="31"/>
  <c r="J61" i="31"/>
  <c r="J73" i="31"/>
  <c r="J40" i="31"/>
  <c r="J41" i="31"/>
  <c r="J77" i="31"/>
  <c r="B13" i="30"/>
  <c r="B14" i="30"/>
  <c r="A6" i="30"/>
  <c r="E21" i="30"/>
  <c r="G18" i="27"/>
  <c r="B6" i="30"/>
  <c r="L73" i="31" l="1"/>
  <c r="L71" i="31"/>
  <c r="L63" i="31"/>
  <c r="M63" i="31" s="1"/>
  <c r="L62" i="31"/>
  <c r="L88" i="31"/>
  <c r="L77" i="31"/>
  <c r="M62" i="31"/>
  <c r="L61" i="31"/>
  <c r="L36" i="31"/>
  <c r="M37" i="31"/>
  <c r="L75" i="31"/>
  <c r="M75" i="31" s="1"/>
  <c r="L48" i="31"/>
  <c r="M49" i="31"/>
  <c r="L100" i="31"/>
  <c r="M101" i="31"/>
  <c r="L55" i="31"/>
  <c r="M56" i="31"/>
  <c r="M46" i="31"/>
  <c r="L45" i="31"/>
  <c r="M50" i="31"/>
  <c r="N50" i="31" s="1"/>
  <c r="L49" i="31"/>
  <c r="M102" i="31"/>
  <c r="L101" i="31"/>
  <c r="L94" i="31"/>
  <c r="M95" i="31"/>
  <c r="N95" i="31" s="1"/>
  <c r="L83" i="31"/>
  <c r="L59" i="31"/>
  <c r="L34" i="31"/>
  <c r="M35" i="31"/>
  <c r="L89" i="31"/>
  <c r="M89" i="31" s="1"/>
  <c r="N89" i="31" s="1"/>
  <c r="K89" i="31" s="1"/>
  <c r="L74" i="31"/>
  <c r="M74" i="31" s="1"/>
  <c r="L92" i="31"/>
  <c r="M93" i="31"/>
  <c r="M38" i="31"/>
  <c r="L37" i="31"/>
  <c r="M34" i="31"/>
  <c r="M33" i="31"/>
  <c r="L33" i="31"/>
  <c r="M54" i="31"/>
  <c r="L53" i="31"/>
  <c r="L95" i="31"/>
  <c r="M96" i="31"/>
  <c r="N96" i="31" s="1"/>
  <c r="K96" i="31" s="1"/>
  <c r="L86" i="31"/>
  <c r="L51" i="31"/>
  <c r="M52" i="31"/>
  <c r="M42" i="31"/>
  <c r="L41" i="31"/>
  <c r="L42" i="31"/>
  <c r="M43" i="31"/>
  <c r="L39" i="31"/>
  <c r="M40" i="31"/>
  <c r="L66" i="31"/>
  <c r="L82" i="31"/>
  <c r="M82" i="31" s="1"/>
  <c r="M83" i="31"/>
  <c r="L84" i="31"/>
  <c r="M84" i="31" s="1"/>
  <c r="N84" i="31" s="1"/>
  <c r="L103" i="31"/>
  <c r="M104" i="31"/>
  <c r="L64" i="31"/>
  <c r="M64" i="31" s="1"/>
  <c r="L46" i="31"/>
  <c r="M47" i="31"/>
  <c r="N47" i="31" s="1"/>
  <c r="K47" i="31" s="1"/>
  <c r="M66" i="31"/>
  <c r="L65" i="31"/>
  <c r="M65" i="31" s="1"/>
  <c r="L52" i="31"/>
  <c r="M53" i="31"/>
  <c r="M94" i="31"/>
  <c r="L93" i="31"/>
  <c r="L96" i="31"/>
  <c r="M97" i="31"/>
  <c r="L60" i="31"/>
  <c r="M60" i="31" s="1"/>
  <c r="M61" i="31"/>
  <c r="L56" i="31"/>
  <c r="L72" i="31"/>
  <c r="M72" i="31" s="1"/>
  <c r="M73" i="31"/>
  <c r="L47" i="31"/>
  <c r="M48" i="31"/>
  <c r="L67" i="31"/>
  <c r="M67" i="31" s="1"/>
  <c r="L35" i="31"/>
  <c r="M36" i="31"/>
  <c r="L81" i="31"/>
  <c r="L54" i="31"/>
  <c r="M55" i="31"/>
  <c r="L102" i="31"/>
  <c r="M103" i="31"/>
  <c r="N103" i="31" s="1"/>
  <c r="K103" i="31" s="1"/>
  <c r="L76" i="31"/>
  <c r="M76" i="31" s="1"/>
  <c r="M77" i="31"/>
  <c r="N77" i="31" s="1"/>
  <c r="K77" i="31" s="1"/>
  <c r="L90" i="31"/>
  <c r="M90" i="31" s="1"/>
  <c r="N90" i="31" s="1"/>
  <c r="K90" i="31" s="1"/>
  <c r="M86" i="31"/>
  <c r="N86" i="31" s="1"/>
  <c r="L85" i="31"/>
  <c r="M85" i="31" s="1"/>
  <c r="L40" i="31"/>
  <c r="M41" i="31"/>
  <c r="L68" i="31"/>
  <c r="M68" i="31" s="1"/>
  <c r="L43" i="31"/>
  <c r="M44" i="31"/>
  <c r="L57" i="31"/>
  <c r="M57" i="31" s="1"/>
  <c r="M98" i="31"/>
  <c r="L97" i="31"/>
  <c r="L99" i="31"/>
  <c r="M100" i="31"/>
  <c r="L69" i="31"/>
  <c r="M69" i="31" s="1"/>
  <c r="L44" i="31"/>
  <c r="M45" i="31"/>
  <c r="L80" i="31"/>
  <c r="M80" i="31" s="1"/>
  <c r="M81" i="31"/>
  <c r="L58" i="31"/>
  <c r="M58" i="31" s="1"/>
  <c r="M59" i="31"/>
  <c r="N59" i="31" s="1"/>
  <c r="L50" i="31"/>
  <c r="M51" i="31"/>
  <c r="L98" i="31"/>
  <c r="M99" i="31"/>
  <c r="L78" i="31"/>
  <c r="M78" i="31" s="1"/>
  <c r="L87" i="31"/>
  <c r="M87" i="31" s="1"/>
  <c r="N87" i="31" s="1"/>
  <c r="M88" i="31"/>
  <c r="L91" i="31"/>
  <c r="M91" i="31" s="1"/>
  <c r="N91" i="31" s="1"/>
  <c r="M92" i="31"/>
  <c r="N92" i="31" s="1"/>
  <c r="L79" i="31"/>
  <c r="M79" i="31" s="1"/>
  <c r="N79" i="31" s="1"/>
  <c r="K79" i="31" s="1"/>
  <c r="L38" i="31"/>
  <c r="M39" i="31"/>
  <c r="L70" i="31"/>
  <c r="M70" i="31" s="1"/>
  <c r="M71" i="31"/>
  <c r="N48" i="31"/>
  <c r="A5" i="30"/>
  <c r="A4" i="30"/>
  <c r="A7" i="30"/>
  <c r="E23" i="30"/>
  <c r="E24" i="30"/>
  <c r="E22" i="30"/>
  <c r="O95" i="31" l="1"/>
  <c r="P95" i="31"/>
  <c r="R95" i="31"/>
  <c r="Q95" i="31"/>
  <c r="P59" i="31"/>
  <c r="O59" i="31"/>
  <c r="Q59" i="31"/>
  <c r="R59" i="31"/>
  <c r="P77" i="31"/>
  <c r="O77" i="31"/>
  <c r="Q77" i="31"/>
  <c r="R77" i="31"/>
  <c r="O48" i="31"/>
  <c r="P48" i="31"/>
  <c r="R48" i="31"/>
  <c r="Q48" i="31"/>
  <c r="O47" i="31"/>
  <c r="P47" i="31"/>
  <c r="Q47" i="31"/>
  <c r="R47" i="31"/>
  <c r="O87" i="31"/>
  <c r="P87" i="31"/>
  <c r="Q87" i="31"/>
  <c r="R87" i="31"/>
  <c r="O90" i="31"/>
  <c r="P90" i="31"/>
  <c r="Q90" i="31"/>
  <c r="R90" i="31"/>
  <c r="O50" i="31"/>
  <c r="P50" i="31"/>
  <c r="R50" i="31"/>
  <c r="Q50" i="31"/>
  <c r="N94" i="31"/>
  <c r="O94" i="31" s="1"/>
  <c r="N93" i="31"/>
  <c r="O93" i="31" s="1"/>
  <c r="O86" i="31"/>
  <c r="R86" i="31"/>
  <c r="Q86" i="31"/>
  <c r="P86" i="31"/>
  <c r="O84" i="31"/>
  <c r="Q84" i="31"/>
  <c r="P84" i="31"/>
  <c r="R84" i="31"/>
  <c r="P89" i="31"/>
  <c r="O89" i="31"/>
  <c r="R89" i="31"/>
  <c r="Q89" i="31"/>
  <c r="N88" i="31"/>
  <c r="O88" i="31" s="1"/>
  <c r="O92" i="31"/>
  <c r="R92" i="31"/>
  <c r="P92" i="31"/>
  <c r="Q92" i="31"/>
  <c r="P79" i="31"/>
  <c r="O79" i="31"/>
  <c r="R79" i="31"/>
  <c r="Q79" i="31"/>
  <c r="P91" i="31"/>
  <c r="O91" i="31"/>
  <c r="R91" i="31"/>
  <c r="Q91" i="31"/>
  <c r="P103" i="31"/>
  <c r="O103" i="31"/>
  <c r="Q103" i="31"/>
  <c r="R103" i="31"/>
  <c r="O96" i="31"/>
  <c r="P96" i="31"/>
  <c r="Q96" i="31"/>
  <c r="R96" i="31"/>
  <c r="N102" i="31"/>
  <c r="K102" i="31" s="1"/>
  <c r="N39" i="31"/>
  <c r="P39" i="31" s="1"/>
  <c r="N51" i="31"/>
  <c r="K51" i="31" s="1"/>
  <c r="K88" i="31"/>
  <c r="K91" i="31"/>
  <c r="N65" i="31"/>
  <c r="K65" i="31" s="1"/>
  <c r="N66" i="31"/>
  <c r="O66" i="31" s="1"/>
  <c r="N57" i="31"/>
  <c r="K57" i="31" s="1"/>
  <c r="N67" i="31"/>
  <c r="O67" i="31" s="1"/>
  <c r="N40" i="31"/>
  <c r="K40" i="31" s="1"/>
  <c r="K93" i="31"/>
  <c r="N64" i="31"/>
  <c r="O64" i="31" s="1"/>
  <c r="K95" i="31"/>
  <c r="N61" i="31"/>
  <c r="K61" i="31" s="1"/>
  <c r="N83" i="31"/>
  <c r="O83" i="31" s="1"/>
  <c r="N42" i="31"/>
  <c r="K42" i="31" s="1"/>
  <c r="N70" i="31"/>
  <c r="O70" i="31" s="1"/>
  <c r="N41" i="31"/>
  <c r="O41" i="31" s="1"/>
  <c r="K92" i="31"/>
  <c r="N56" i="31"/>
  <c r="R56" i="31" s="1"/>
  <c r="N78" i="31"/>
  <c r="P78" i="31" s="1"/>
  <c r="N71" i="31"/>
  <c r="K71" i="31" s="1"/>
  <c r="K59" i="31"/>
  <c r="N72" i="31"/>
  <c r="Q72" i="31" s="1"/>
  <c r="N74" i="31"/>
  <c r="Q74" i="31" s="1"/>
  <c r="K48" i="31"/>
  <c r="N98" i="31"/>
  <c r="O98" i="31" s="1"/>
  <c r="N60" i="31"/>
  <c r="O60" i="31" s="1"/>
  <c r="N68" i="31"/>
  <c r="O68" i="31" s="1"/>
  <c r="N104" i="31"/>
  <c r="O104" i="31" s="1"/>
  <c r="N100" i="31"/>
  <c r="O100" i="31" s="1"/>
  <c r="N82" i="31"/>
  <c r="O82" i="31" s="1"/>
  <c r="N85" i="31"/>
  <c r="P85" i="31" s="1"/>
  <c r="N37" i="31"/>
  <c r="K37" i="31" s="1"/>
  <c r="N97" i="31"/>
  <c r="O97" i="31" s="1"/>
  <c r="N45" i="31"/>
  <c r="P45" i="31" s="1"/>
  <c r="N101" i="31"/>
  <c r="K101" i="31" s="1"/>
  <c r="N76" i="31"/>
  <c r="Q76" i="31" s="1"/>
  <c r="N69" i="31"/>
  <c r="P69" i="31" s="1"/>
  <c r="K94" i="31"/>
  <c r="N73" i="31"/>
  <c r="K73" i="31" s="1"/>
  <c r="N33" i="31"/>
  <c r="R33" i="31" s="1"/>
  <c r="N44" i="31"/>
  <c r="K44" i="31" s="1"/>
  <c r="K84" i="31"/>
  <c r="K87" i="31"/>
  <c r="N62" i="31"/>
  <c r="O62" i="31" s="1"/>
  <c r="N49" i="31"/>
  <c r="K49" i="31" s="1"/>
  <c r="N63" i="31"/>
  <c r="O63" i="31" s="1"/>
  <c r="N36" i="31"/>
  <c r="K36" i="31" s="1"/>
  <c r="K50" i="31"/>
  <c r="K86" i="31"/>
  <c r="N75" i="31"/>
  <c r="R75" i="31" s="1"/>
  <c r="N55" i="31"/>
  <c r="P55" i="31" s="1"/>
  <c r="N99" i="31"/>
  <c r="O99" i="31" s="1"/>
  <c r="N52" i="31"/>
  <c r="K52" i="31" s="1"/>
  <c r="N35" i="31"/>
  <c r="Q35" i="31" s="1"/>
  <c r="N43" i="31"/>
  <c r="O43" i="31" s="1"/>
  <c r="N58" i="31"/>
  <c r="K58" i="31" s="1"/>
  <c r="N81" i="31"/>
  <c r="P81" i="31" s="1"/>
  <c r="N80" i="31"/>
  <c r="K80" i="31" s="1"/>
  <c r="N53" i="31"/>
  <c r="O53" i="31" s="1"/>
  <c r="N54" i="31"/>
  <c r="R54" i="31" s="1"/>
  <c r="N34" i="31"/>
  <c r="R34" i="31" s="1"/>
  <c r="N38" i="31"/>
  <c r="P38" i="31" s="1"/>
  <c r="N46" i="31"/>
  <c r="K46" i="31" s="1"/>
  <c r="B16" i="30"/>
  <c r="B118" i="30"/>
  <c r="B117" i="30"/>
  <c r="B116" i="30"/>
  <c r="B115" i="30"/>
  <c r="B114" i="30"/>
  <c r="B113" i="30"/>
  <c r="B112" i="30"/>
  <c r="B111" i="30"/>
  <c r="B110" i="30"/>
  <c r="B109" i="30"/>
  <c r="G95" i="30"/>
  <c r="F95" i="30"/>
  <c r="G94" i="30"/>
  <c r="F94" i="30"/>
  <c r="G93" i="30"/>
  <c r="F93" i="30"/>
  <c r="G92" i="30"/>
  <c r="F92" i="30"/>
  <c r="G91" i="30"/>
  <c r="F91" i="30"/>
  <c r="G90" i="30"/>
  <c r="F90" i="30"/>
  <c r="G89" i="30"/>
  <c r="F89" i="30"/>
  <c r="G88" i="30"/>
  <c r="F88" i="30"/>
  <c r="G87" i="30"/>
  <c r="F87" i="30"/>
  <c r="G86" i="30"/>
  <c r="F86" i="30"/>
  <c r="G85" i="30"/>
  <c r="F85" i="30"/>
  <c r="G84" i="30"/>
  <c r="G83" i="30"/>
  <c r="F83" i="30"/>
  <c r="G82" i="30"/>
  <c r="F82" i="30"/>
  <c r="G81" i="30"/>
  <c r="F81" i="30"/>
  <c r="G80" i="30"/>
  <c r="F80" i="30"/>
  <c r="G79" i="30"/>
  <c r="F79" i="30"/>
  <c r="G78" i="30"/>
  <c r="F78" i="30"/>
  <c r="G77" i="30"/>
  <c r="F77" i="30"/>
  <c r="G76" i="30"/>
  <c r="F76" i="30"/>
  <c r="G75" i="30"/>
  <c r="F75" i="30"/>
  <c r="G74" i="30"/>
  <c r="F74" i="30"/>
  <c r="G73" i="30"/>
  <c r="F73" i="30"/>
  <c r="G72" i="30"/>
  <c r="F72" i="30"/>
  <c r="G71" i="30"/>
  <c r="F71" i="30"/>
  <c r="G70" i="30"/>
  <c r="F70" i="30"/>
  <c r="G69" i="30"/>
  <c r="F69" i="30"/>
  <c r="G68" i="30"/>
  <c r="F68" i="30"/>
  <c r="G67" i="30"/>
  <c r="F67" i="30"/>
  <c r="G66" i="30"/>
  <c r="F66" i="30"/>
  <c r="G65" i="30"/>
  <c r="F65" i="30"/>
  <c r="G64" i="30"/>
  <c r="F64" i="30"/>
  <c r="G63" i="30"/>
  <c r="F63" i="30"/>
  <c r="G62" i="30"/>
  <c r="F62" i="30"/>
  <c r="G61" i="30"/>
  <c r="F61" i="30"/>
  <c r="G60" i="30"/>
  <c r="F60" i="30"/>
  <c r="G59" i="30"/>
  <c r="F59" i="30"/>
  <c r="G58" i="30"/>
  <c r="F58" i="30"/>
  <c r="G57" i="30"/>
  <c r="F57" i="30"/>
  <c r="G56" i="30"/>
  <c r="F56" i="30"/>
  <c r="G55" i="30"/>
  <c r="F55" i="30"/>
  <c r="G54" i="30"/>
  <c r="F54" i="30"/>
  <c r="G53" i="30"/>
  <c r="F53" i="30"/>
  <c r="G52" i="30"/>
  <c r="F52" i="30"/>
  <c r="G51" i="30"/>
  <c r="F51" i="30"/>
  <c r="G50" i="30"/>
  <c r="F50" i="30"/>
  <c r="G49" i="30"/>
  <c r="F49" i="30"/>
  <c r="G48" i="30"/>
  <c r="F48" i="30"/>
  <c r="G47" i="30"/>
  <c r="F47" i="30"/>
  <c r="G46" i="30"/>
  <c r="F46" i="30"/>
  <c r="G45" i="30"/>
  <c r="F45" i="30"/>
  <c r="G44" i="30"/>
  <c r="F44" i="30"/>
  <c r="G43" i="30"/>
  <c r="F43" i="30"/>
  <c r="G42" i="30"/>
  <c r="F42" i="30"/>
  <c r="G41" i="30"/>
  <c r="F41" i="30"/>
  <c r="G40" i="30"/>
  <c r="F40" i="30"/>
  <c r="G39" i="30"/>
  <c r="F39" i="30"/>
  <c r="G38" i="30"/>
  <c r="F38" i="30"/>
  <c r="G37" i="30"/>
  <c r="F37" i="30"/>
  <c r="G36" i="30"/>
  <c r="F36" i="30"/>
  <c r="C36" i="30"/>
  <c r="B32" i="30"/>
  <c r="R94" i="31" l="1"/>
  <c r="Q94" i="31"/>
  <c r="O38" i="31"/>
  <c r="O61" i="31"/>
  <c r="P44" i="31"/>
  <c r="O51" i="31"/>
  <c r="P72" i="31"/>
  <c r="O33" i="31"/>
  <c r="P98" i="31"/>
  <c r="O54" i="31"/>
  <c r="R63" i="31"/>
  <c r="R83" i="31"/>
  <c r="R100" i="31"/>
  <c r="Q80" i="31"/>
  <c r="R65" i="31"/>
  <c r="R52" i="31"/>
  <c r="Q41" i="31"/>
  <c r="R81" i="31"/>
  <c r="R39" i="31"/>
  <c r="O37" i="31"/>
  <c r="P33" i="31"/>
  <c r="R76" i="31"/>
  <c r="O42" i="31"/>
  <c r="R49" i="31"/>
  <c r="R104" i="31"/>
  <c r="Q45" i="31"/>
  <c r="R71" i="31"/>
  <c r="R58" i="31"/>
  <c r="R62" i="31"/>
  <c r="O52" i="31"/>
  <c r="P41" i="31"/>
  <c r="O81" i="31"/>
  <c r="O39" i="31"/>
  <c r="P37" i="31"/>
  <c r="R82" i="31"/>
  <c r="P35" i="31"/>
  <c r="Q93" i="31"/>
  <c r="O34" i="31"/>
  <c r="R97" i="31"/>
  <c r="Q99" i="31"/>
  <c r="Q66" i="31"/>
  <c r="Q60" i="31"/>
  <c r="P62" i="31"/>
  <c r="R61" i="31"/>
  <c r="Q44" i="31"/>
  <c r="Q51" i="31"/>
  <c r="P56" i="31"/>
  <c r="R98" i="31"/>
  <c r="O75" i="31"/>
  <c r="R93" i="31"/>
  <c r="R40" i="31"/>
  <c r="Q69" i="31"/>
  <c r="Q88" i="31"/>
  <c r="Q64" i="31"/>
  <c r="Q57" i="31"/>
  <c r="O46" i="31"/>
  <c r="P43" i="31"/>
  <c r="O101" i="31"/>
  <c r="Q78" i="31"/>
  <c r="R36" i="31"/>
  <c r="R68" i="31"/>
  <c r="R74" i="31"/>
  <c r="R46" i="31"/>
  <c r="P102" i="31"/>
  <c r="Q38" i="31"/>
  <c r="R43" i="31"/>
  <c r="R85" i="31"/>
  <c r="Q73" i="31"/>
  <c r="O72" i="31"/>
  <c r="O56" i="31"/>
  <c r="P82" i="31"/>
  <c r="O76" i="31"/>
  <c r="P101" i="31"/>
  <c r="O35" i="31"/>
  <c r="P75" i="31"/>
  <c r="P54" i="31"/>
  <c r="P42" i="31"/>
  <c r="Q63" i="31"/>
  <c r="Q49" i="31"/>
  <c r="R70" i="31"/>
  <c r="R78" i="31"/>
  <c r="Q34" i="31"/>
  <c r="Q40" i="31"/>
  <c r="Q83" i="31"/>
  <c r="Q104" i="31"/>
  <c r="Q53" i="31"/>
  <c r="Q97" i="31"/>
  <c r="Q36" i="31"/>
  <c r="R55" i="31"/>
  <c r="R69" i="31"/>
  <c r="P100" i="31"/>
  <c r="R45" i="31"/>
  <c r="R99" i="31"/>
  <c r="R88" i="31"/>
  <c r="R80" i="31"/>
  <c r="Q71" i="31"/>
  <c r="R66" i="31"/>
  <c r="R64" i="31"/>
  <c r="Q65" i="31"/>
  <c r="Q58" i="31"/>
  <c r="R60" i="31"/>
  <c r="P68" i="31"/>
  <c r="R57" i="31"/>
  <c r="R67" i="31"/>
  <c r="P73" i="31"/>
  <c r="P70" i="31"/>
  <c r="R53" i="31"/>
  <c r="Q55" i="31"/>
  <c r="P74" i="31"/>
  <c r="Q62" i="31"/>
  <c r="Q46" i="31"/>
  <c r="R102" i="31"/>
  <c r="R38" i="31"/>
  <c r="P52" i="31"/>
  <c r="Q43" i="31"/>
  <c r="Q85" i="31"/>
  <c r="Q61" i="31"/>
  <c r="R73" i="31"/>
  <c r="R41" i="31"/>
  <c r="R44" i="31"/>
  <c r="Q81" i="31"/>
  <c r="R51" i="31"/>
  <c r="Q39" i="31"/>
  <c r="R72" i="31"/>
  <c r="R37" i="31"/>
  <c r="Q56" i="31"/>
  <c r="Q33" i="31"/>
  <c r="Q82" i="31"/>
  <c r="Q98" i="31"/>
  <c r="P76" i="31"/>
  <c r="R101" i="31"/>
  <c r="R35" i="31"/>
  <c r="Q75" i="31"/>
  <c r="Q54" i="31"/>
  <c r="R42" i="31"/>
  <c r="P63" i="31"/>
  <c r="P49" i="31"/>
  <c r="P93" i="31"/>
  <c r="P94" i="31"/>
  <c r="Q70" i="31"/>
  <c r="O78" i="31"/>
  <c r="P34" i="31"/>
  <c r="O40" i="31"/>
  <c r="P83" i="31"/>
  <c r="P104" i="31"/>
  <c r="P53" i="31"/>
  <c r="P97" i="31"/>
  <c r="O36" i="31"/>
  <c r="O55" i="31"/>
  <c r="O69" i="31"/>
  <c r="Q100" i="31"/>
  <c r="O45" i="31"/>
  <c r="P99" i="31"/>
  <c r="P88" i="31"/>
  <c r="P80" i="31"/>
  <c r="O71" i="31"/>
  <c r="P66" i="31"/>
  <c r="P64" i="31"/>
  <c r="P65" i="31"/>
  <c r="O58" i="31"/>
  <c r="P60" i="31"/>
  <c r="Q68" i="31"/>
  <c r="O57" i="31"/>
  <c r="P67" i="31"/>
  <c r="O74" i="31"/>
  <c r="O102" i="31"/>
  <c r="O85" i="31"/>
  <c r="Q67" i="31"/>
  <c r="P46" i="31"/>
  <c r="Q102" i="31"/>
  <c r="Q52" i="31"/>
  <c r="P61" i="31"/>
  <c r="O73" i="31"/>
  <c r="O44" i="31"/>
  <c r="P51" i="31"/>
  <c r="Q37" i="31"/>
  <c r="Q101" i="31"/>
  <c r="Q42" i="31"/>
  <c r="O49" i="31"/>
  <c r="P40" i="31"/>
  <c r="P36" i="31"/>
  <c r="O80" i="31"/>
  <c r="P71" i="31"/>
  <c r="O65" i="31"/>
  <c r="P58" i="31"/>
  <c r="P57" i="31"/>
  <c r="K82" i="31"/>
  <c r="K39" i="31"/>
  <c r="K60" i="31"/>
  <c r="K34" i="31"/>
  <c r="K35" i="31"/>
  <c r="K98" i="31"/>
  <c r="K97" i="31"/>
  <c r="K100" i="31"/>
  <c r="K67" i="31"/>
  <c r="K76" i="31"/>
  <c r="K74" i="31"/>
  <c r="K33" i="31"/>
  <c r="K55" i="31"/>
  <c r="K75" i="31"/>
  <c r="K78" i="31"/>
  <c r="K70" i="31"/>
  <c r="K69" i="31"/>
  <c r="K68" i="31"/>
  <c r="K72" i="31"/>
  <c r="K56" i="31"/>
  <c r="K53" i="31"/>
  <c r="K81" i="31"/>
  <c r="K63" i="31"/>
  <c r="K62" i="31"/>
  <c r="K85" i="31"/>
  <c r="K83" i="31"/>
  <c r="K66" i="31"/>
  <c r="K38" i="31"/>
  <c r="K54" i="31"/>
  <c r="K43" i="31"/>
  <c r="K99" i="31"/>
  <c r="K45" i="31"/>
  <c r="K104" i="31"/>
  <c r="K41" i="31"/>
  <c r="K64" i="31"/>
  <c r="I36" i="30"/>
  <c r="I96" i="30"/>
  <c r="I100" i="30"/>
  <c r="I104" i="30"/>
  <c r="I97" i="30"/>
  <c r="I101" i="30"/>
  <c r="I105" i="30"/>
  <c r="I98" i="30"/>
  <c r="I102" i="30"/>
  <c r="I106" i="30"/>
  <c r="I99" i="30"/>
  <c r="I103" i="30"/>
  <c r="I107" i="30"/>
  <c r="F20" i="27"/>
  <c r="B20" i="27"/>
  <c r="D36" i="30"/>
  <c r="E36" i="30" s="1"/>
  <c r="H36" i="30"/>
  <c r="I37" i="30"/>
  <c r="I38" i="30"/>
  <c r="I39" i="30"/>
  <c r="I40" i="30"/>
  <c r="I41" i="30"/>
  <c r="I42" i="30"/>
  <c r="I43" i="30"/>
  <c r="I44" i="30"/>
  <c r="I45" i="30"/>
  <c r="I46" i="30"/>
  <c r="I47" i="30"/>
  <c r="I48" i="30"/>
  <c r="I49" i="30"/>
  <c r="I50" i="30"/>
  <c r="I51" i="30"/>
  <c r="I52" i="30"/>
  <c r="I53" i="30"/>
  <c r="I54" i="30"/>
  <c r="I55" i="30"/>
  <c r="I56" i="30"/>
  <c r="I57" i="30"/>
  <c r="I58" i="30"/>
  <c r="I59" i="30"/>
  <c r="I60" i="30"/>
  <c r="I61" i="30"/>
  <c r="I62" i="30"/>
  <c r="I63" i="30"/>
  <c r="I64" i="30"/>
  <c r="I65" i="30"/>
  <c r="I66" i="30"/>
  <c r="I67" i="30"/>
  <c r="I68" i="30"/>
  <c r="I69" i="30"/>
  <c r="I70" i="30"/>
  <c r="I71" i="30"/>
  <c r="I72" i="30"/>
  <c r="I73" i="30"/>
  <c r="I74" i="30"/>
  <c r="I75" i="30"/>
  <c r="I76" i="30"/>
  <c r="I77" i="30"/>
  <c r="I78" i="30"/>
  <c r="I79" i="30"/>
  <c r="I80" i="30"/>
  <c r="I81" i="30"/>
  <c r="I82" i="30"/>
  <c r="I83" i="30"/>
  <c r="I84" i="30"/>
  <c r="I85" i="30"/>
  <c r="I86" i="30"/>
  <c r="I87" i="30"/>
  <c r="I88" i="30"/>
  <c r="I89" i="30"/>
  <c r="I90" i="30"/>
  <c r="I91" i="30"/>
  <c r="I92" i="30"/>
  <c r="I93" i="30"/>
  <c r="I94" i="30"/>
  <c r="I95" i="30"/>
  <c r="B12" i="30"/>
  <c r="B19" i="31" l="1"/>
  <c r="B20" i="31"/>
  <c r="B5" i="31" s="1"/>
  <c r="J96" i="30"/>
  <c r="L96" i="30" s="1"/>
  <c r="J100" i="30"/>
  <c r="L100" i="30" s="1"/>
  <c r="J104" i="30"/>
  <c r="L104" i="30" s="1"/>
  <c r="J97" i="30"/>
  <c r="L97" i="30" s="1"/>
  <c r="J101" i="30"/>
  <c r="L101" i="30" s="1"/>
  <c r="J105" i="30"/>
  <c r="L105" i="30" s="1"/>
  <c r="J98" i="30"/>
  <c r="L98" i="30" s="1"/>
  <c r="J102" i="30"/>
  <c r="L102" i="30" s="1"/>
  <c r="J106" i="30"/>
  <c r="L106" i="30" s="1"/>
  <c r="J99" i="30"/>
  <c r="L99" i="30" s="1"/>
  <c r="J103" i="30"/>
  <c r="L103" i="30" s="1"/>
  <c r="J107" i="30"/>
  <c r="L107" i="30" s="1"/>
  <c r="B24" i="30"/>
  <c r="B7" i="30" s="1"/>
  <c r="J58" i="30"/>
  <c r="L58" i="30" s="1"/>
  <c r="G17" i="27"/>
  <c r="J81" i="30"/>
  <c r="J46" i="30"/>
  <c r="J42" i="30"/>
  <c r="L42" i="30" s="1"/>
  <c r="J38" i="30"/>
  <c r="L38" i="30" s="1"/>
  <c r="J45" i="30"/>
  <c r="J41" i="30"/>
  <c r="J37" i="30"/>
  <c r="L37" i="30" s="1"/>
  <c r="J44" i="30"/>
  <c r="L44" i="30" s="1"/>
  <c r="J40" i="30"/>
  <c r="L40" i="30" s="1"/>
  <c r="J36" i="30"/>
  <c r="L36" i="30" s="1"/>
  <c r="J47" i="30"/>
  <c r="J43" i="30"/>
  <c r="L43" i="30" s="1"/>
  <c r="J39" i="30"/>
  <c r="L39" i="30" s="1"/>
  <c r="J85" i="30"/>
  <c r="J59" i="30"/>
  <c r="L59" i="30" s="1"/>
  <c r="J73" i="30"/>
  <c r="J69" i="30"/>
  <c r="J65" i="30"/>
  <c r="J89" i="30"/>
  <c r="J93" i="30"/>
  <c r="J50" i="30"/>
  <c r="J77" i="30"/>
  <c r="J61" i="30"/>
  <c r="J90" i="30"/>
  <c r="J57" i="30"/>
  <c r="L57" i="30" s="1"/>
  <c r="J49" i="30"/>
  <c r="J82" i="30"/>
  <c r="J76" i="30"/>
  <c r="L76" i="30" s="1"/>
  <c r="J68" i="30"/>
  <c r="J64" i="30"/>
  <c r="L64" i="30" s="1"/>
  <c r="J60" i="30"/>
  <c r="J56" i="30"/>
  <c r="J83" i="30"/>
  <c r="J87" i="30"/>
  <c r="J91" i="30"/>
  <c r="J95" i="30"/>
  <c r="L95" i="30" s="1"/>
  <c r="J55" i="30"/>
  <c r="J52" i="30"/>
  <c r="J48" i="30"/>
  <c r="J80" i="30"/>
  <c r="L80" i="30" s="1"/>
  <c r="J75" i="30"/>
  <c r="L75" i="30" s="1"/>
  <c r="J71" i="30"/>
  <c r="J67" i="30"/>
  <c r="J63" i="30"/>
  <c r="J86" i="30"/>
  <c r="L86" i="30" s="1"/>
  <c r="J94" i="30"/>
  <c r="L94" i="30" s="1"/>
  <c r="J53" i="30"/>
  <c r="J72" i="30"/>
  <c r="J84" i="30"/>
  <c r="L84" i="30" s="1"/>
  <c r="J88" i="30"/>
  <c r="L88" i="30" s="1"/>
  <c r="J92" i="30"/>
  <c r="L92" i="30" s="1"/>
  <c r="J79" i="30"/>
  <c r="L79" i="30" s="1"/>
  <c r="J51" i="30"/>
  <c r="J78" i="30"/>
  <c r="J74" i="30"/>
  <c r="J70" i="30"/>
  <c r="J66" i="30"/>
  <c r="J62" i="30"/>
  <c r="J54" i="30"/>
  <c r="L91" i="30" l="1"/>
  <c r="L82" i="30"/>
  <c r="L89" i="30"/>
  <c r="L78" i="30"/>
  <c r="L87" i="30"/>
  <c r="L85" i="30"/>
  <c r="L83" i="30"/>
  <c r="L81" i="30"/>
  <c r="L90" i="30"/>
  <c r="L93" i="30"/>
  <c r="L77" i="30"/>
  <c r="L73" i="30"/>
  <c r="B4" i="31"/>
  <c r="B7" i="31" s="1"/>
  <c r="B16" i="31" s="1"/>
  <c r="B22" i="31"/>
  <c r="L66" i="30"/>
  <c r="M103" i="30"/>
  <c r="M98" i="30"/>
  <c r="M96" i="30"/>
  <c r="M104" i="30"/>
  <c r="M99" i="30"/>
  <c r="M105" i="30"/>
  <c r="M100" i="30"/>
  <c r="M106" i="30"/>
  <c r="M101" i="30"/>
  <c r="M107" i="30"/>
  <c r="M102" i="30"/>
  <c r="M97" i="30"/>
  <c r="L67" i="30"/>
  <c r="M67" i="30" s="1"/>
  <c r="L70" i="30"/>
  <c r="M70" i="30" s="1"/>
  <c r="L63" i="30"/>
  <c r="M63" i="30" s="1"/>
  <c r="L62" i="30"/>
  <c r="M62" i="30" s="1"/>
  <c r="L65" i="30"/>
  <c r="M65" i="30" s="1"/>
  <c r="L69" i="30"/>
  <c r="M69" i="30" s="1"/>
  <c r="L61" i="30"/>
  <c r="M61" i="30" s="1"/>
  <c r="L56" i="30"/>
  <c r="L54" i="30"/>
  <c r="L52" i="30"/>
  <c r="M52" i="30" s="1"/>
  <c r="L46" i="30"/>
  <c r="M46" i="30" s="1"/>
  <c r="L53" i="30"/>
  <c r="L48" i="30"/>
  <c r="L50" i="30"/>
  <c r="M50" i="30" s="1"/>
  <c r="L45" i="30"/>
  <c r="M45" i="30" s="1"/>
  <c r="M37" i="30"/>
  <c r="M89" i="30"/>
  <c r="M57" i="30"/>
  <c r="M58" i="30"/>
  <c r="M75" i="30"/>
  <c r="L68" i="30"/>
  <c r="M68" i="30" s="1"/>
  <c r="L49" i="30"/>
  <c r="M49" i="30" s="1"/>
  <c r="M76" i="30"/>
  <c r="M91" i="30"/>
  <c r="M38" i="30"/>
  <c r="M80" i="30"/>
  <c r="M36" i="30"/>
  <c r="M43" i="30"/>
  <c r="M59" i="30"/>
  <c r="M87" i="30"/>
  <c r="M48" i="30"/>
  <c r="M90" i="30"/>
  <c r="M53" i="30"/>
  <c r="L60" i="30"/>
  <c r="M60" i="30" s="1"/>
  <c r="M92" i="30"/>
  <c r="L74" i="30"/>
  <c r="M74" i="30" s="1"/>
  <c r="M81" i="30"/>
  <c r="L47" i="30"/>
  <c r="M47" i="30" s="1"/>
  <c r="M54" i="30"/>
  <c r="M42" i="30"/>
  <c r="M88" i="30"/>
  <c r="M73" i="30"/>
  <c r="M78" i="30"/>
  <c r="M40" i="30"/>
  <c r="L71" i="30"/>
  <c r="M71" i="30" s="1"/>
  <c r="L72" i="30"/>
  <c r="M72" i="30" s="1"/>
  <c r="M86" i="30"/>
  <c r="M44" i="30"/>
  <c r="L41" i="30"/>
  <c r="M95" i="30"/>
  <c r="L51" i="30"/>
  <c r="M51" i="30" s="1"/>
  <c r="M94" i="30"/>
  <c r="M85" i="30"/>
  <c r="M84" i="30"/>
  <c r="M79" i="30"/>
  <c r="M83" i="30"/>
  <c r="M93" i="30"/>
  <c r="M82" i="30"/>
  <c r="M39" i="30"/>
  <c r="M41" i="30"/>
  <c r="M56" i="30"/>
  <c r="M64" i="30"/>
  <c r="M77" i="30"/>
  <c r="L55" i="30"/>
  <c r="M55" i="30" s="1"/>
  <c r="M66" i="30"/>
  <c r="N97" i="30" l="1"/>
  <c r="K97" i="30" s="1"/>
  <c r="N107" i="30"/>
  <c r="P107" i="30" s="1"/>
  <c r="N106" i="30"/>
  <c r="K106" i="30" s="1"/>
  <c r="N105" i="30"/>
  <c r="Q105" i="30" s="1"/>
  <c r="N104" i="30"/>
  <c r="K104" i="30" s="1"/>
  <c r="N98" i="30"/>
  <c r="Q98" i="30" s="1"/>
  <c r="N102" i="30"/>
  <c r="K102" i="30" s="1"/>
  <c r="N101" i="30"/>
  <c r="Q101" i="30" s="1"/>
  <c r="N100" i="30"/>
  <c r="K100" i="30" s="1"/>
  <c r="N99" i="30"/>
  <c r="R99" i="30" s="1"/>
  <c r="N96" i="30"/>
  <c r="K96" i="30" s="1"/>
  <c r="N103" i="30"/>
  <c r="R103" i="30" s="1"/>
  <c r="N90" i="30"/>
  <c r="K90" i="30" s="1"/>
  <c r="N89" i="30"/>
  <c r="K89" i="30" s="1"/>
  <c r="N55" i="30"/>
  <c r="K55" i="30" s="1"/>
  <c r="N67" i="30"/>
  <c r="O67" i="30" s="1"/>
  <c r="N39" i="30"/>
  <c r="P39" i="30" s="1"/>
  <c r="N62" i="30"/>
  <c r="O62" i="30" s="1"/>
  <c r="N71" i="30"/>
  <c r="O71" i="30" s="1"/>
  <c r="N54" i="30"/>
  <c r="P54" i="30" s="1"/>
  <c r="N91" i="30"/>
  <c r="O91" i="30" s="1"/>
  <c r="N69" i="30"/>
  <c r="K69" i="30" s="1"/>
  <c r="N66" i="30"/>
  <c r="P66" i="30" s="1"/>
  <c r="N51" i="30"/>
  <c r="P51" i="30" s="1"/>
  <c r="N84" i="30"/>
  <c r="O84" i="30" s="1"/>
  <c r="N65" i="30"/>
  <c r="K65" i="30" s="1"/>
  <c r="N73" i="30"/>
  <c r="K73" i="30" s="1"/>
  <c r="N47" i="30"/>
  <c r="P47" i="30" s="1"/>
  <c r="N36" i="30"/>
  <c r="P36" i="30" s="1"/>
  <c r="N46" i="30"/>
  <c r="O46" i="30" s="1"/>
  <c r="N70" i="30"/>
  <c r="P70" i="30" s="1"/>
  <c r="N57" i="30"/>
  <c r="Q57" i="30" s="1"/>
  <c r="N56" i="30"/>
  <c r="K56" i="30" s="1"/>
  <c r="N83" i="30"/>
  <c r="K83" i="30" s="1"/>
  <c r="N85" i="30"/>
  <c r="K85" i="30" s="1"/>
  <c r="N63" i="30"/>
  <c r="O63" i="30" s="1"/>
  <c r="N44" i="30"/>
  <c r="O44" i="30" s="1"/>
  <c r="N68" i="30"/>
  <c r="P68" i="30" s="1"/>
  <c r="N88" i="30"/>
  <c r="P88" i="30" s="1"/>
  <c r="N74" i="30"/>
  <c r="P74" i="30" s="1"/>
  <c r="N87" i="30"/>
  <c r="K87" i="30" s="1"/>
  <c r="N80" i="30"/>
  <c r="P80" i="30" s="1"/>
  <c r="N75" i="30"/>
  <c r="O75" i="30" s="1"/>
  <c r="N61" i="30"/>
  <c r="P61" i="30" s="1"/>
  <c r="N82" i="30"/>
  <c r="P82" i="30" s="1"/>
  <c r="N45" i="30"/>
  <c r="P45" i="30" s="1"/>
  <c r="N72" i="30"/>
  <c r="P72" i="30" s="1"/>
  <c r="N81" i="30"/>
  <c r="K81" i="30" s="1"/>
  <c r="N43" i="30"/>
  <c r="P43" i="30" s="1"/>
  <c r="N60" i="30"/>
  <c r="P60" i="30" s="1"/>
  <c r="N64" i="30"/>
  <c r="O64" i="30" s="1"/>
  <c r="N93" i="30"/>
  <c r="K93" i="30" s="1"/>
  <c r="N95" i="30"/>
  <c r="K95" i="30" s="1"/>
  <c r="N40" i="30"/>
  <c r="O40" i="30" s="1"/>
  <c r="N52" i="30"/>
  <c r="O52" i="30" s="1"/>
  <c r="N48" i="30"/>
  <c r="O48" i="30" s="1"/>
  <c r="N76" i="30"/>
  <c r="P76" i="30" s="1"/>
  <c r="N77" i="30"/>
  <c r="K77" i="30" s="1"/>
  <c r="N41" i="30"/>
  <c r="P41" i="30" s="1"/>
  <c r="N50" i="30"/>
  <c r="K50" i="30" s="1"/>
  <c r="N79" i="30"/>
  <c r="O79" i="30" s="1"/>
  <c r="N94" i="30"/>
  <c r="O94" i="30" s="1"/>
  <c r="N86" i="30"/>
  <c r="K86" i="30" s="1"/>
  <c r="N78" i="30"/>
  <c r="P78" i="30" s="1"/>
  <c r="N42" i="30"/>
  <c r="O42" i="30" s="1"/>
  <c r="N92" i="30"/>
  <c r="O92" i="30" s="1"/>
  <c r="N53" i="30"/>
  <c r="K53" i="30" s="1"/>
  <c r="N59" i="30"/>
  <c r="P59" i="30" s="1"/>
  <c r="N38" i="30"/>
  <c r="K38" i="30" s="1"/>
  <c r="N49" i="30"/>
  <c r="K49" i="30" s="1"/>
  <c r="N58" i="30"/>
  <c r="O58" i="30" s="1"/>
  <c r="N37" i="30"/>
  <c r="R37" i="30" s="1"/>
  <c r="O97" i="30" l="1"/>
  <c r="O89" i="30"/>
  <c r="Q89" i="30"/>
  <c r="R89" i="30"/>
  <c r="P97" i="30"/>
  <c r="Q97" i="30"/>
  <c r="O90" i="30"/>
  <c r="R90" i="30"/>
  <c r="Q90" i="30"/>
  <c r="R104" i="30"/>
  <c r="R97" i="30"/>
  <c r="Q102" i="30"/>
  <c r="Q104" i="30"/>
  <c r="Q106" i="30"/>
  <c r="O107" i="30"/>
  <c r="P106" i="30"/>
  <c r="K51" i="30"/>
  <c r="O105" i="30"/>
  <c r="R106" i="30"/>
  <c r="R107" i="30"/>
  <c r="Q103" i="30"/>
  <c r="P99" i="30"/>
  <c r="P98" i="30"/>
  <c r="O104" i="30"/>
  <c r="O100" i="30"/>
  <c r="O102" i="30"/>
  <c r="O103" i="30"/>
  <c r="Q99" i="30"/>
  <c r="Q100" i="30"/>
  <c r="P96" i="30"/>
  <c r="O96" i="30"/>
  <c r="P101" i="30"/>
  <c r="P89" i="30"/>
  <c r="P103" i="30"/>
  <c r="K103" i="30"/>
  <c r="R96" i="30"/>
  <c r="O99" i="30"/>
  <c r="K99" i="30"/>
  <c r="P100" i="30"/>
  <c r="O101" i="30"/>
  <c r="K101" i="30"/>
  <c r="P102" i="30"/>
  <c r="R98" i="30"/>
  <c r="K98" i="30"/>
  <c r="P105" i="30"/>
  <c r="K105" i="30"/>
  <c r="K107" i="30"/>
  <c r="R101" i="30"/>
  <c r="O98" i="30"/>
  <c r="R105" i="30"/>
  <c r="Q107" i="30"/>
  <c r="Q96" i="30"/>
  <c r="R100" i="30"/>
  <c r="R102" i="30"/>
  <c r="P104" i="30"/>
  <c r="O106" i="30"/>
  <c r="K71" i="30"/>
  <c r="O55" i="30"/>
  <c r="P73" i="30"/>
  <c r="P79" i="30"/>
  <c r="P57" i="30"/>
  <c r="P87" i="30"/>
  <c r="P94" i="30"/>
  <c r="P67" i="30"/>
  <c r="P75" i="30"/>
  <c r="P81" i="30"/>
  <c r="P63" i="30"/>
  <c r="P77" i="30"/>
  <c r="P91" i="30"/>
  <c r="P40" i="30"/>
  <c r="P53" i="30"/>
  <c r="P71" i="30"/>
  <c r="P64" i="30"/>
  <c r="P69" i="30"/>
  <c r="P83" i="30"/>
  <c r="P46" i="30"/>
  <c r="P42" i="30"/>
  <c r="P85" i="30"/>
  <c r="P37" i="30"/>
  <c r="P44" i="30"/>
  <c r="P56" i="30"/>
  <c r="P65" i="30"/>
  <c r="P92" i="30"/>
  <c r="P62" i="30"/>
  <c r="P52" i="30"/>
  <c r="P49" i="30"/>
  <c r="P93" i="30"/>
  <c r="P90" i="30"/>
  <c r="P95" i="30"/>
  <c r="P55" i="30"/>
  <c r="P38" i="30"/>
  <c r="P50" i="30"/>
  <c r="P58" i="30"/>
  <c r="P48" i="30"/>
  <c r="P86" i="30"/>
  <c r="P84" i="30"/>
  <c r="R83" i="30"/>
  <c r="Q70" i="30"/>
  <c r="K46" i="30"/>
  <c r="O69" i="30"/>
  <c r="K62" i="30"/>
  <c r="O72" i="30"/>
  <c r="R55" i="30"/>
  <c r="O88" i="30"/>
  <c r="O86" i="30"/>
  <c r="K72" i="30"/>
  <c r="O85" i="30"/>
  <c r="K91" i="30"/>
  <c r="K88" i="30"/>
  <c r="O57" i="30"/>
  <c r="R40" i="30"/>
  <c r="R64" i="30"/>
  <c r="K60" i="30"/>
  <c r="O53" i="30"/>
  <c r="R62" i="30"/>
  <c r="O60" i="30"/>
  <c r="O45" i="30"/>
  <c r="K48" i="30"/>
  <c r="O93" i="30"/>
  <c r="K44" i="30"/>
  <c r="O80" i="30"/>
  <c r="O70" i="30"/>
  <c r="O78" i="30"/>
  <c r="O83" i="30"/>
  <c r="K82" i="30"/>
  <c r="K52" i="30"/>
  <c r="O82" i="30"/>
  <c r="Q36" i="30"/>
  <c r="Q69" i="30"/>
  <c r="K63" i="30"/>
  <c r="O73" i="30"/>
  <c r="K61" i="30"/>
  <c r="O49" i="30"/>
  <c r="O50" i="30"/>
  <c r="O74" i="30"/>
  <c r="K78" i="30"/>
  <c r="K74" i="30"/>
  <c r="K57" i="30"/>
  <c r="O59" i="30"/>
  <c r="K59" i="30"/>
  <c r="R92" i="30"/>
  <c r="Q86" i="30"/>
  <c r="Q80" i="30"/>
  <c r="R88" i="30"/>
  <c r="R46" i="30"/>
  <c r="R91" i="30"/>
  <c r="O39" i="30"/>
  <c r="O68" i="30"/>
  <c r="O77" i="30"/>
  <c r="O81" i="30"/>
  <c r="K75" i="30"/>
  <c r="K67" i="30"/>
  <c r="K64" i="30"/>
  <c r="K70" i="30"/>
  <c r="R86" i="30"/>
  <c r="O76" i="30"/>
  <c r="O61" i="30"/>
  <c r="K54" i="30"/>
  <c r="Q49" i="30"/>
  <c r="Q53" i="30"/>
  <c r="R71" i="30"/>
  <c r="R84" i="30"/>
  <c r="R69" i="30"/>
  <c r="O37" i="30"/>
  <c r="R77" i="30"/>
  <c r="R52" i="30"/>
  <c r="Q45" i="30"/>
  <c r="R75" i="30"/>
  <c r="R68" i="30"/>
  <c r="Q85" i="30"/>
  <c r="K66" i="30"/>
  <c r="K58" i="30"/>
  <c r="O65" i="30"/>
  <c r="K39" i="30"/>
  <c r="O66" i="30"/>
  <c r="O41" i="30"/>
  <c r="Q58" i="30"/>
  <c r="R53" i="30"/>
  <c r="Q52" i="30"/>
  <c r="Q60" i="30"/>
  <c r="Q72" i="30"/>
  <c r="R65" i="30"/>
  <c r="K41" i="30"/>
  <c r="R58" i="30"/>
  <c r="R94" i="30"/>
  <c r="Q41" i="30"/>
  <c r="Q65" i="30"/>
  <c r="Q71" i="30"/>
  <c r="R41" i="30"/>
  <c r="Q64" i="30"/>
  <c r="R72" i="30"/>
  <c r="Q75" i="30"/>
  <c r="Q88" i="30"/>
  <c r="R85" i="30"/>
  <c r="R70" i="30"/>
  <c r="Q73" i="30"/>
  <c r="Q66" i="30"/>
  <c r="Q62" i="30"/>
  <c r="Q37" i="30"/>
  <c r="Q59" i="30"/>
  <c r="Q78" i="30"/>
  <c r="Q50" i="30"/>
  <c r="Q48" i="30"/>
  <c r="Q93" i="30"/>
  <c r="Q81" i="30"/>
  <c r="Q61" i="30"/>
  <c r="Q74" i="30"/>
  <c r="Q63" i="30"/>
  <c r="R57" i="30"/>
  <c r="Q39" i="30"/>
  <c r="Q55" i="30"/>
  <c r="O38" i="30"/>
  <c r="O56" i="30"/>
  <c r="K42" i="30"/>
  <c r="O87" i="30"/>
  <c r="O95" i="30"/>
  <c r="K43" i="30"/>
  <c r="O51" i="30"/>
  <c r="O54" i="30"/>
  <c r="O47" i="30"/>
  <c r="K94" i="30"/>
  <c r="K92" i="30"/>
  <c r="K36" i="30"/>
  <c r="K79" i="30"/>
  <c r="K84" i="30"/>
  <c r="K45" i="30"/>
  <c r="K47" i="30"/>
  <c r="K68" i="30"/>
  <c r="R38" i="30"/>
  <c r="R59" i="30"/>
  <c r="Q42" i="30"/>
  <c r="R78" i="30"/>
  <c r="Q79" i="30"/>
  <c r="R50" i="30"/>
  <c r="Q76" i="30"/>
  <c r="R48" i="30"/>
  <c r="R95" i="30"/>
  <c r="R93" i="30"/>
  <c r="R43" i="30"/>
  <c r="R81" i="30"/>
  <c r="R82" i="30"/>
  <c r="R61" i="30"/>
  <c r="R87" i="30"/>
  <c r="R74" i="30"/>
  <c r="R44" i="30"/>
  <c r="R63" i="30"/>
  <c r="R56" i="30"/>
  <c r="R36" i="30"/>
  <c r="R47" i="30"/>
  <c r="R73" i="30"/>
  <c r="Q51" i="30"/>
  <c r="R66" i="30"/>
  <c r="R54" i="30"/>
  <c r="R67" i="30"/>
  <c r="K40" i="30"/>
  <c r="K76" i="30"/>
  <c r="K80" i="30"/>
  <c r="O43" i="30"/>
  <c r="K37" i="30"/>
  <c r="R49" i="30"/>
  <c r="Q38" i="30"/>
  <c r="Q92" i="30"/>
  <c r="R42" i="30"/>
  <c r="Q94" i="30"/>
  <c r="R79" i="30"/>
  <c r="Q77" i="30"/>
  <c r="R76" i="30"/>
  <c r="Q40" i="30"/>
  <c r="Q95" i="30"/>
  <c r="R60" i="30"/>
  <c r="Q43" i="30"/>
  <c r="R45" i="30"/>
  <c r="Q82" i="30"/>
  <c r="R80" i="30"/>
  <c r="Q87" i="30"/>
  <c r="Q68" i="30"/>
  <c r="Q44" i="30"/>
  <c r="Q83" i="30"/>
  <c r="Q56" i="30"/>
  <c r="Q46" i="30"/>
  <c r="O36" i="30"/>
  <c r="Q47" i="30"/>
  <c r="Q84" i="30"/>
  <c r="R51" i="30"/>
  <c r="Q91" i="30"/>
  <c r="Q54" i="30"/>
  <c r="R39" i="30"/>
  <c r="Q67" i="30"/>
  <c r="B22" i="30" l="1"/>
  <c r="B21" i="30"/>
  <c r="B4" i="30" s="1"/>
  <c r="E26" i="30"/>
  <c r="E25" i="30"/>
  <c r="L26" i="27"/>
  <c r="B5" i="30" l="1"/>
  <c r="B25" i="30"/>
  <c r="L28" i="27"/>
  <c r="L27" i="27" s="1"/>
  <c r="B8" i="30" l="1"/>
  <c r="B18" i="30" l="1"/>
</calcChain>
</file>

<file path=xl/sharedStrings.xml><?xml version="1.0" encoding="utf-8"?>
<sst xmlns="http://schemas.openxmlformats.org/spreadsheetml/2006/main" count="2058" uniqueCount="1078">
  <si>
    <t>Interruptible</t>
  </si>
  <si>
    <t>Units</t>
  </si>
  <si>
    <t>Firm</t>
  </si>
  <si>
    <t>kWh/h</t>
  </si>
  <si>
    <t>€/MWh</t>
  </si>
  <si>
    <t>MWh</t>
  </si>
  <si>
    <t>H-Zone</t>
  </si>
  <si>
    <t>End User Domestic Exit Point PP</t>
  </si>
  <si>
    <t>005822</t>
  </si>
  <si>
    <t>ZANDVLIET POWER ANTWERPEN (ZANDVLIET)</t>
  </si>
  <si>
    <t>Electrical Power Plant</t>
  </si>
  <si>
    <t>21197</t>
  </si>
  <si>
    <t>21197-N01</t>
  </si>
  <si>
    <t>End User Domestic Exit Point IC</t>
  </si>
  <si>
    <t>711910</t>
  </si>
  <si>
    <t>YARA TERTRE</t>
  </si>
  <si>
    <t>Industrial Client</t>
  </si>
  <si>
    <t>71191</t>
  </si>
  <si>
    <t>71191-N01</t>
  </si>
  <si>
    <t>L-Zone</t>
  </si>
  <si>
    <t>1003342</t>
  </si>
  <si>
    <t>WIENERBERGER VELDWEZELT</t>
  </si>
  <si>
    <t>15305</t>
  </si>
  <si>
    <t>15305-N01</t>
  </si>
  <si>
    <t>004700</t>
  </si>
  <si>
    <t>VYNOVA BELGIUM NV</t>
  </si>
  <si>
    <t>12081</t>
  </si>
  <si>
    <t>12081-N01</t>
  </si>
  <si>
    <t>007179</t>
  </si>
  <si>
    <t>VOPAK ANTWERPEN</t>
  </si>
  <si>
    <t>21811</t>
  </si>
  <si>
    <t>21811-N01</t>
  </si>
  <si>
    <t>004742</t>
  </si>
  <si>
    <t>VOLVO GENT</t>
  </si>
  <si>
    <t>GENT</t>
  </si>
  <si>
    <t>42523</t>
  </si>
  <si>
    <t>42523-N01</t>
  </si>
  <si>
    <t>004694</t>
  </si>
  <si>
    <t>VISKO TEEPAK NV LOMMEL</t>
  </si>
  <si>
    <t>11041</t>
  </si>
  <si>
    <t>11041-N01</t>
  </si>
  <si>
    <t>VISKO TEEPAK N.V. LOMMEL</t>
  </si>
  <si>
    <t>004705</t>
  </si>
  <si>
    <t>VANDERSANDEN NV LANKLAAR</t>
  </si>
  <si>
    <t>15111</t>
  </si>
  <si>
    <t>15111-N01</t>
  </si>
  <si>
    <t>444110</t>
  </si>
  <si>
    <t>UTEXBEL RONSE</t>
  </si>
  <si>
    <t>44411</t>
  </si>
  <si>
    <t>44411-N01</t>
  </si>
  <si>
    <t>004708</t>
  </si>
  <si>
    <t>UMICORE OLEN</t>
  </si>
  <si>
    <t>18051</t>
  </si>
  <si>
    <t>18051-N01</t>
  </si>
  <si>
    <t>004722</t>
  </si>
  <si>
    <t>UMICORE HOBOKEN</t>
  </si>
  <si>
    <t>23141</t>
  </si>
  <si>
    <t>23141-N01</t>
  </si>
  <si>
    <t>004697</t>
  </si>
  <si>
    <t>TRINSEO BELGIUM BVBA TESSENDERLO</t>
  </si>
  <si>
    <t>11515</t>
  </si>
  <si>
    <t>11515-N01</t>
  </si>
  <si>
    <t>13710</t>
  </si>
  <si>
    <t>TREBOS DUFERCO LA LOUVIÈRE TE TILDONK</t>
  </si>
  <si>
    <t>1371</t>
  </si>
  <si>
    <t>01371-N01</t>
  </si>
  <si>
    <t>180730</t>
  </si>
  <si>
    <t>TRANSFURANS CHEMICALS</t>
  </si>
  <si>
    <t>18073</t>
  </si>
  <si>
    <t>18073-N01</t>
  </si>
  <si>
    <t>007184</t>
  </si>
  <si>
    <t>TOTAL RAFFINADERIJ ANTWERPEN</t>
  </si>
  <si>
    <t>21821</t>
  </si>
  <si>
    <t>21821-N01</t>
  </si>
  <si>
    <t>004723</t>
  </si>
  <si>
    <t>TOTAL POLYMERS ANTWERP</t>
  </si>
  <si>
    <t>23605</t>
  </si>
  <si>
    <t>23605-N01</t>
  </si>
  <si>
    <t>004761</t>
  </si>
  <si>
    <t>TOTAL PETROCHEMICALS FELUY</t>
  </si>
  <si>
    <t>61329</t>
  </si>
  <si>
    <t>61329-N01</t>
  </si>
  <si>
    <t>213290</t>
  </si>
  <si>
    <t>TOTAL OLEFINS ANTWERP SITE C</t>
  </si>
  <si>
    <t>21329</t>
  </si>
  <si>
    <t>21329-N01</t>
  </si>
  <si>
    <t>004720</t>
  </si>
  <si>
    <t>TOTAL OLEFINS ANTWERP SITE A</t>
  </si>
  <si>
    <t>22321</t>
  </si>
  <si>
    <t>22321-N01</t>
  </si>
  <si>
    <t>005957</t>
  </si>
  <si>
    <t>TOMW@TT BVBA SINT-GILLIS-WAAS</t>
  </si>
  <si>
    <t>Combined Heat and Power</t>
  </si>
  <si>
    <t>42851</t>
  </si>
  <si>
    <t>42851-N01</t>
  </si>
  <si>
    <t>551590</t>
  </si>
  <si>
    <t>TIMAC AGRO BELUX SA MARCHIENNE-AU-PONT</t>
  </si>
  <si>
    <t>55159</t>
  </si>
  <si>
    <t>55159-N01</t>
  </si>
  <si>
    <t>004724</t>
  </si>
  <si>
    <t>TIENSE SUIKERRAFFINADERIJ TIENEN</t>
  </si>
  <si>
    <t>31121</t>
  </si>
  <si>
    <t>31121-N01</t>
  </si>
  <si>
    <t>005298</t>
  </si>
  <si>
    <t>TI GROUP AUTOMOTIVE SYSTEMS WANDRE</t>
  </si>
  <si>
    <t>83247</t>
  </si>
  <si>
    <t>83247-N01</t>
  </si>
  <si>
    <t>004873</t>
  </si>
  <si>
    <t>THY MARCINELLE DAMPREMY</t>
  </si>
  <si>
    <t>54365</t>
  </si>
  <si>
    <t>54365-N01</t>
  </si>
  <si>
    <t>004875</t>
  </si>
  <si>
    <t>THY MARCINELLE CHARLEROI</t>
  </si>
  <si>
    <t>54543</t>
  </si>
  <si>
    <t>54543-N01</t>
  </si>
  <si>
    <t>322710</t>
  </si>
  <si>
    <t>TESSENDERLO CHEMIE VILVOORDE</t>
  </si>
  <si>
    <t>32271</t>
  </si>
  <si>
    <t>32271-N01</t>
  </si>
  <si>
    <t>004818</t>
  </si>
  <si>
    <t>TEREOS STARCH &amp; SWEETENERS + CHP AALST</t>
  </si>
  <si>
    <t>41031</t>
  </si>
  <si>
    <t>41031-N01</t>
  </si>
  <si>
    <t>005902</t>
  </si>
  <si>
    <t>TAMINCO GENT</t>
  </si>
  <si>
    <t>42505</t>
  </si>
  <si>
    <t>42505-N01</t>
  </si>
  <si>
    <t>55730</t>
  </si>
  <si>
    <t>SYNGENTA CHEMICALS SENEFFE</t>
  </si>
  <si>
    <t>5573</t>
  </si>
  <si>
    <t>05573-N01</t>
  </si>
  <si>
    <t>311510</t>
  </si>
  <si>
    <t>SYLVANIA TIENEN</t>
  </si>
  <si>
    <t>31151</t>
  </si>
  <si>
    <t>31151-N01</t>
  </si>
  <si>
    <t>130650</t>
  </si>
  <si>
    <t>SUMITOMO BAKELITE EUROPE NV DIEPENBEEK</t>
  </si>
  <si>
    <t>13065</t>
  </si>
  <si>
    <t>13065-N01</t>
  </si>
  <si>
    <t>004679</t>
  </si>
  <si>
    <t>SUCRERIE DE WANZE</t>
  </si>
  <si>
    <t>86709</t>
  </si>
  <si>
    <t>86709-N01</t>
  </si>
  <si>
    <t>425270</t>
  </si>
  <si>
    <t>STUKWERKERS HAVENBEDRIJF GENT</t>
  </si>
  <si>
    <t>42527</t>
  </si>
  <si>
    <t>42527-N01</t>
  </si>
  <si>
    <t>425710</t>
  </si>
  <si>
    <t>STORA ENSO LANGERBRUGGE</t>
  </si>
  <si>
    <t>42571</t>
  </si>
  <si>
    <t>42571-N01</t>
  </si>
  <si>
    <t>007323</t>
  </si>
  <si>
    <t>STADSBADER KALLO</t>
  </si>
  <si>
    <t>42907</t>
  </si>
  <si>
    <t>42907-N01</t>
  </si>
  <si>
    <t>Stadsbader Kallo</t>
  </si>
  <si>
    <t>006008</t>
  </si>
  <si>
    <t>SPANOLUX VIELSALM</t>
  </si>
  <si>
    <t>89789</t>
  </si>
  <si>
    <t>89789-N01</t>
  </si>
  <si>
    <t>007135</t>
  </si>
  <si>
    <t>SOVITEC FLEURUS</t>
  </si>
  <si>
    <t>52213</t>
  </si>
  <si>
    <t>52213-N01</t>
  </si>
  <si>
    <t>004752</t>
  </si>
  <si>
    <t>SORESIC CHARLEROI</t>
  </si>
  <si>
    <t>52121</t>
  </si>
  <si>
    <t>52121-N01</t>
  </si>
  <si>
    <t>551030</t>
  </si>
  <si>
    <t>SONACA CHARLEROI GOSSELIES</t>
  </si>
  <si>
    <t>55103</t>
  </si>
  <si>
    <t>55103-N01</t>
  </si>
  <si>
    <t>004787</t>
  </si>
  <si>
    <t>SOLAREC RECOGNE</t>
  </si>
  <si>
    <t>87121</t>
  </si>
  <si>
    <t>87121-N01</t>
  </si>
  <si>
    <t>007146</t>
  </si>
  <si>
    <t>SOCOGETRA AUBANGE</t>
  </si>
  <si>
    <t>87575</t>
  </si>
  <si>
    <t>87575-N01</t>
  </si>
  <si>
    <t>875630</t>
  </si>
  <si>
    <t>SNC MICHELMAN INT. AUBANGE</t>
  </si>
  <si>
    <t>87563</t>
  </si>
  <si>
    <t>87563-N01</t>
  </si>
  <si>
    <t>005931</t>
  </si>
  <si>
    <t>SINTERCO SA MARCHE-LES-DAMES</t>
  </si>
  <si>
    <t>86773</t>
  </si>
  <si>
    <t>86773-N01</t>
  </si>
  <si>
    <t>SINTERCO MARCHE-LES-DAMES</t>
  </si>
  <si>
    <t>004696</t>
  </si>
  <si>
    <t>SIBELCO MOL</t>
  </si>
  <si>
    <t>11441</t>
  </si>
  <si>
    <t>11441-N01</t>
  </si>
  <si>
    <t>110430</t>
  </si>
  <si>
    <t>SIBELCO LOMMEL</t>
  </si>
  <si>
    <t>11043</t>
  </si>
  <si>
    <t>11043-N01</t>
  </si>
  <si>
    <t>007155</t>
  </si>
  <si>
    <t>SEGAL SA IVOZ-RAMET</t>
  </si>
  <si>
    <t>86213</t>
  </si>
  <si>
    <t>86207-N02</t>
  </si>
  <si>
    <t>532710</t>
  </si>
  <si>
    <t>SCJ STOVE WORKS SPRL COUVIN</t>
  </si>
  <si>
    <t>53271</t>
  </si>
  <si>
    <t>53271-N01</t>
  </si>
  <si>
    <t>004707</t>
  </si>
  <si>
    <t>SAPPI LANAKEN</t>
  </si>
  <si>
    <t>15241</t>
  </si>
  <si>
    <t>15241-N01</t>
  </si>
  <si>
    <t>004772</t>
  </si>
  <si>
    <t>SAPA RC PROFILES GHLIN</t>
  </si>
  <si>
    <t>74161</t>
  </si>
  <si>
    <t>74161-N01</t>
  </si>
  <si>
    <t>428910</t>
  </si>
  <si>
    <t>ST GOBAIN CONSTR. PROD. BELG. NV KALLO</t>
  </si>
  <si>
    <t>42891</t>
  </si>
  <si>
    <t>42891-N01</t>
  </si>
  <si>
    <t>SAINT GOBAIN CONSTRUCTION PRODUCTS BELGIUM NV KALLO</t>
  </si>
  <si>
    <t>811550</t>
  </si>
  <si>
    <t>SAFRAN AERO BOOSTERS MILMORT</t>
  </si>
  <si>
    <t>81155</t>
  </si>
  <si>
    <t>81155-N01</t>
  </si>
  <si>
    <t>424970</t>
  </si>
  <si>
    <t>SADACI GENT</t>
  </si>
  <si>
    <t>42497</t>
  </si>
  <si>
    <t>42497-N01</t>
  </si>
  <si>
    <t>005909</t>
  </si>
  <si>
    <t>4221</t>
  </si>
  <si>
    <t>04221-N01</t>
  </si>
  <si>
    <t>004743</t>
  </si>
  <si>
    <t>ROUSSELOT GENT</t>
  </si>
  <si>
    <t>42553</t>
  </si>
  <si>
    <t>42553-N01</t>
  </si>
  <si>
    <t>005855</t>
  </si>
  <si>
    <t>RAPERIE DE LONGCHAMPS</t>
  </si>
  <si>
    <t>5441</t>
  </si>
  <si>
    <t>05441-N01</t>
  </si>
  <si>
    <t>005019</t>
  </si>
  <si>
    <t>41295</t>
  </si>
  <si>
    <t>41295-N01</t>
  </si>
  <si>
    <t>004730</t>
  </si>
  <si>
    <t>PRAYON PUURS</t>
  </si>
  <si>
    <t>32571</t>
  </si>
  <si>
    <t>32571-N01</t>
  </si>
  <si>
    <t>004782</t>
  </si>
  <si>
    <t>PRAYON ENGIS</t>
  </si>
  <si>
    <t>86649</t>
  </si>
  <si>
    <t>86649-N01</t>
  </si>
  <si>
    <t>007296</t>
  </si>
  <si>
    <t>PRAXAIR LILLO</t>
  </si>
  <si>
    <t>21641</t>
  </si>
  <si>
    <t>21641-N01</t>
  </si>
  <si>
    <t>005955</t>
  </si>
  <si>
    <t>PP/T-POWER TESSENDERLO</t>
  </si>
  <si>
    <t>12061</t>
  </si>
  <si>
    <t>12061-N01</t>
  </si>
  <si>
    <t>004827</t>
  </si>
  <si>
    <t>PP/ EDF LUMINUS ANGLEUR</t>
  </si>
  <si>
    <t>83097</t>
  </si>
  <si>
    <t>83097-N01</t>
  </si>
  <si>
    <t>PP/EDF LUMINUS ANGLEUR TG4</t>
  </si>
  <si>
    <t>005940</t>
  </si>
  <si>
    <t>PP/ EBL ZELZATE</t>
  </si>
  <si>
    <t>42211</t>
  </si>
  <si>
    <t>42211-N01</t>
  </si>
  <si>
    <t>PP/EBL ZELZATE</t>
  </si>
  <si>
    <t>005941</t>
  </si>
  <si>
    <t>PP/ EBL AMERCOEUR 3</t>
  </si>
  <si>
    <t>55143</t>
  </si>
  <si>
    <t>55143-N01</t>
  </si>
  <si>
    <t>PP/EBL AMERCOEUR 3</t>
  </si>
  <si>
    <t>004815</t>
  </si>
  <si>
    <t>PP/CHP TOTAL RAFFINADERIJ ANTWERPEN</t>
  </si>
  <si>
    <t>21761</t>
  </si>
  <si>
    <t>21761-N01</t>
  </si>
  <si>
    <t>15243</t>
  </si>
  <si>
    <t>15241-N02</t>
  </si>
  <si>
    <t>PP/CHP SAPPI LANAKEN</t>
  </si>
  <si>
    <t>004834</t>
  </si>
  <si>
    <t>PP/CHP OUDEGEM PAPIER</t>
  </si>
  <si>
    <t>49577</t>
  </si>
  <si>
    <t>49577-N01</t>
  </si>
  <si>
    <t>522930</t>
  </si>
  <si>
    <t>PP/CHP INOVYN JEMEPPE</t>
  </si>
  <si>
    <t>52293</t>
  </si>
  <si>
    <t>52293-N01</t>
  </si>
  <si>
    <t>005564</t>
  </si>
  <si>
    <t>INEOS PHENOL DOEL</t>
  </si>
  <si>
    <t>21455</t>
  </si>
  <si>
    <t>21455-N01</t>
  </si>
  <si>
    <t>PP/CHP INEOS PHENOL DOEL</t>
  </si>
  <si>
    <t>004822</t>
  </si>
  <si>
    <t>PP/CHP EDF LUMINUS IZEGEM</t>
  </si>
  <si>
    <t>46027</t>
  </si>
  <si>
    <t>46027-N01</t>
  </si>
  <si>
    <t>005936</t>
  </si>
  <si>
    <t>PP/CHP EBL ZWIJNDRECHT</t>
  </si>
  <si>
    <t>21311</t>
  </si>
  <si>
    <t>21311-N01</t>
  </si>
  <si>
    <t>004718</t>
  </si>
  <si>
    <t>EVONIK ANTWERPEN (80 barg)</t>
  </si>
  <si>
    <t>21563</t>
  </si>
  <si>
    <t>21561-N02</t>
  </si>
  <si>
    <t>21569</t>
  </si>
  <si>
    <t>21561-N03</t>
  </si>
  <si>
    <t>007349</t>
  </si>
  <si>
    <t>21757</t>
  </si>
  <si>
    <t>21757-N01</t>
  </si>
  <si>
    <t>007139</t>
  </si>
  <si>
    <t>PP/ AMERCOEUR AUXILIARIES ROUX</t>
  </si>
  <si>
    <t>55147</t>
  </si>
  <si>
    <t>55143-N02</t>
  </si>
  <si>
    <t>PP/Amercoeur Auxiliaries Roux</t>
  </si>
  <si>
    <t>757510</t>
  </si>
  <si>
    <t>PP/ ST.-GHISLAIN (CC)</t>
  </si>
  <si>
    <t>75751</t>
  </si>
  <si>
    <t>75751-N01</t>
  </si>
  <si>
    <t>005934</t>
  </si>
  <si>
    <t>PP/ MARCINELLE ENERGIE</t>
  </si>
  <si>
    <t>63321</t>
  </si>
  <si>
    <t>63321-N01</t>
  </si>
  <si>
    <t>004828</t>
  </si>
  <si>
    <t>PP/ LES AWIRS</t>
  </si>
  <si>
    <t>86083</t>
  </si>
  <si>
    <t>86083-N01</t>
  </si>
  <si>
    <t>004809</t>
  </si>
  <si>
    <t>PP/ HERDERSBRUG BRUGGE (CC)</t>
  </si>
  <si>
    <t>7131</t>
  </si>
  <si>
    <t>07131-N01</t>
  </si>
  <si>
    <t>004980</t>
  </si>
  <si>
    <t>PP/ EM GENERATION BRUSSELS VILVOORDE</t>
  </si>
  <si>
    <t>7485</t>
  </si>
  <si>
    <t>07485-N01</t>
  </si>
  <si>
    <t>004819</t>
  </si>
  <si>
    <t>PP/ EDF LUMINUS RINGVAART GENT (CC)</t>
  </si>
  <si>
    <t>42351</t>
  </si>
  <si>
    <t>42351-N01</t>
  </si>
  <si>
    <t>004829</t>
  </si>
  <si>
    <t>PP/ EDF LUMINUS LE VAL SERAING (CC)</t>
  </si>
  <si>
    <t>86853</t>
  </si>
  <si>
    <t>86853-N01</t>
  </si>
  <si>
    <t>22ZFL004820----B</t>
  </si>
  <si>
    <t>004820</t>
  </si>
  <si>
    <t>PP/ EDF LUMINUS GENT HAM (CC)</t>
  </si>
  <si>
    <t>Ham</t>
  </si>
  <si>
    <t>42499</t>
  </si>
  <si>
    <t>42499-N01</t>
  </si>
  <si>
    <t>83091</t>
  </si>
  <si>
    <t>83097-N02</t>
  </si>
  <si>
    <t>005933</t>
  </si>
  <si>
    <t>PP/ EBL RODENHUIZE</t>
  </si>
  <si>
    <t>42227</t>
  </si>
  <si>
    <t>42227-N01</t>
  </si>
  <si>
    <t>004817</t>
  </si>
  <si>
    <t>PP/ DROGENBOS (CC)</t>
  </si>
  <si>
    <t>30179</t>
  </si>
  <si>
    <t>30179-N01</t>
  </si>
  <si>
    <t>PP/ DROGENBOS STEG</t>
  </si>
  <si>
    <t>41045</t>
  </si>
  <si>
    <t>41045-N01</t>
  </si>
  <si>
    <t>PP/ CHP TEREOS SYRAL AALST</t>
  </si>
  <si>
    <t>004740</t>
  </si>
  <si>
    <t>OLEON NV ERTVELDE</t>
  </si>
  <si>
    <t>42457</t>
  </si>
  <si>
    <t>42457-N01</t>
  </si>
  <si>
    <t>PP/ CHP OLEON ERTVELDE</t>
  </si>
  <si>
    <t>005938</t>
  </si>
  <si>
    <t>PP/ CHP GP ANTWERPEN</t>
  </si>
  <si>
    <t>21625</t>
  </si>
  <si>
    <t>21625-N01</t>
  </si>
  <si>
    <t>005896</t>
  </si>
  <si>
    <t>PP/ CHP CARGILL OIL PACKERS IZEGEM</t>
  </si>
  <si>
    <t>46029</t>
  </si>
  <si>
    <t>46029-N01</t>
  </si>
  <si>
    <t>005927</t>
  </si>
  <si>
    <t>ALCOBIOFUEL GENT</t>
  </si>
  <si>
    <t>42223</t>
  </si>
  <si>
    <t>42213-N02</t>
  </si>
  <si>
    <t>PP/ CHP ALCOBIOFUEL GENT</t>
  </si>
  <si>
    <t>004702</t>
  </si>
  <si>
    <t>PITTSBURGH CORNING TESSENDERLO</t>
  </si>
  <si>
    <t>12331</t>
  </si>
  <si>
    <t>12331-N01</t>
  </si>
  <si>
    <t>123410</t>
  </si>
  <si>
    <t>PANASONIC ENERGY BELGIUM TESSENDERLO</t>
  </si>
  <si>
    <t>12341</t>
  </si>
  <si>
    <t>12341-N01</t>
  </si>
  <si>
    <t>005852</t>
  </si>
  <si>
    <t>ORAFTI OREYE</t>
  </si>
  <si>
    <t>81263</t>
  </si>
  <si>
    <t>81263-N01</t>
  </si>
  <si>
    <t>18230</t>
  </si>
  <si>
    <t>OMYA SA HARMIGNIES</t>
  </si>
  <si>
    <t>1823</t>
  </si>
  <si>
    <t>01823-N01</t>
  </si>
  <si>
    <t>42451</t>
  </si>
  <si>
    <t>42451-N01</t>
  </si>
  <si>
    <t>211610</t>
  </si>
  <si>
    <t>OILTANKING STOLTHAVEN ANTWERP</t>
  </si>
  <si>
    <t>21161</t>
  </si>
  <si>
    <t>21161-N01</t>
  </si>
  <si>
    <t>114150</t>
  </si>
  <si>
    <t>NYRSTAR BELGIUM NV BALEN</t>
  </si>
  <si>
    <t>11415</t>
  </si>
  <si>
    <t>11415-N01</t>
  </si>
  <si>
    <t>005018</t>
  </si>
  <si>
    <t>NORBORD NV GENK</t>
  </si>
  <si>
    <t>15067</t>
  </si>
  <si>
    <t>15067-N01</t>
  </si>
  <si>
    <t>005907</t>
  </si>
  <si>
    <t xml:space="preserve">NLMK II LA LOUVIERE </t>
  </si>
  <si>
    <t>61245</t>
  </si>
  <si>
    <t>61245-N01</t>
  </si>
  <si>
    <t>004733</t>
  </si>
  <si>
    <t>NLMK CLABECQ</t>
  </si>
  <si>
    <t>34341</t>
  </si>
  <si>
    <t>34341-N01</t>
  </si>
  <si>
    <t>005613</t>
  </si>
  <si>
    <t>NITTO GENK</t>
  </si>
  <si>
    <t>13067</t>
  </si>
  <si>
    <t>13067-N01</t>
  </si>
  <si>
    <t>004771</t>
  </si>
  <si>
    <t>NGK CERAMICS EUROPE BAUDOUR</t>
  </si>
  <si>
    <t>74141</t>
  </si>
  <si>
    <t>74141-N01</t>
  </si>
  <si>
    <t>004731</t>
  </si>
  <si>
    <t>MOUTERIJ ALBERT PUURS</t>
  </si>
  <si>
    <t>32591</t>
  </si>
  <si>
    <t>32591-N01</t>
  </si>
  <si>
    <t>214430</t>
  </si>
  <si>
    <t>MONUMENT CHEMICAL BVBA KALLO</t>
  </si>
  <si>
    <t>21443</t>
  </si>
  <si>
    <t>21443-N01</t>
  </si>
  <si>
    <t>004719</t>
  </si>
  <si>
    <t>MONSANTO ANTWERPEN</t>
  </si>
  <si>
    <t>21581</t>
  </si>
  <si>
    <t>21581-N01</t>
  </si>
  <si>
    <t>004689</t>
  </si>
  <si>
    <t>MONDELEZ BELGIUM BISCUITS PROD HERENTALS</t>
  </si>
  <si>
    <t>1291</t>
  </si>
  <si>
    <t>01291-N01</t>
  </si>
  <si>
    <t>004691</t>
  </si>
  <si>
    <t>METALLO BELGIUM BEERSE</t>
  </si>
  <si>
    <t>1211</t>
  </si>
  <si>
    <t>01211-N01</t>
  </si>
  <si>
    <t>004773</t>
  </si>
  <si>
    <t>MD VERRE SA GHLIN</t>
  </si>
  <si>
    <t>74171</t>
  </si>
  <si>
    <t>74171-N01</t>
  </si>
  <si>
    <t>005301</t>
  </si>
  <si>
    <t>MARICHAL KÉTIN</t>
  </si>
  <si>
    <t>85057</t>
  </si>
  <si>
    <t>85057-N01</t>
  </si>
  <si>
    <t>MARICHAL KETIN</t>
  </si>
  <si>
    <t>836210</t>
  </si>
  <si>
    <t>MAGOTTEAUX INTERNATIONAL SA</t>
  </si>
  <si>
    <t>83621</t>
  </si>
  <si>
    <t>83621-N01</t>
  </si>
  <si>
    <t>MAGOTTEAUX INTERNATIONAL SA VAUX-SOUS-CHEVREMONT</t>
  </si>
  <si>
    <t>875410</t>
  </si>
  <si>
    <t>MAGOLUX MESSANCY</t>
  </si>
  <si>
    <t>87541</t>
  </si>
  <si>
    <t>87541-N01</t>
  </si>
  <si>
    <t>867650</t>
  </si>
  <si>
    <t>LUYTEN SA MARCHE-LES-DAMES</t>
  </si>
  <si>
    <t>86765</t>
  </si>
  <si>
    <t>86765-N01</t>
  </si>
  <si>
    <t>443030</t>
  </si>
  <si>
    <t>LUTOSA LEUZE</t>
  </si>
  <si>
    <t>44303</t>
  </si>
  <si>
    <t>44303-N01</t>
  </si>
  <si>
    <t>004695</t>
  </si>
  <si>
    <t>LRM LEASE LOMMEL</t>
  </si>
  <si>
    <t>11049</t>
  </si>
  <si>
    <t>11049-N01</t>
  </si>
  <si>
    <t>004786</t>
  </si>
  <si>
    <t>LHOIST JEMELLE</t>
  </si>
  <si>
    <t>87061</t>
  </si>
  <si>
    <t>87061-N01</t>
  </si>
  <si>
    <t>428890</t>
  </si>
  <si>
    <t>LAWTER BVBA KALLO</t>
  </si>
  <si>
    <t>42889</t>
  </si>
  <si>
    <t>42889-N01</t>
  </si>
  <si>
    <t>21759</t>
  </si>
  <si>
    <t>21759-N01</t>
  </si>
  <si>
    <t>LANXESS NV (vestiging Lillo)</t>
  </si>
  <si>
    <t>004868</t>
  </si>
  <si>
    <t>LANXESS NV (VESTIGING KALLO)</t>
  </si>
  <si>
    <t>21449</t>
  </si>
  <si>
    <t>21449-N01</t>
  </si>
  <si>
    <t>871410</t>
  </si>
  <si>
    <t>LAMBIOTTE CIE A MARBEHAN</t>
  </si>
  <si>
    <t>87141</t>
  </si>
  <si>
    <t>87140-N01</t>
  </si>
  <si>
    <t>004741</t>
  </si>
  <si>
    <t>KRONOS EUROPE LANGERBRUGGE</t>
  </si>
  <si>
    <t>42489</t>
  </si>
  <si>
    <t>42489-N01</t>
  </si>
  <si>
    <t>004780</t>
  </si>
  <si>
    <t>KNAUF-GIPS EHEIN</t>
  </si>
  <si>
    <t>86363</t>
  </si>
  <si>
    <t>86363-N01</t>
  </si>
  <si>
    <t>004690</t>
  </si>
  <si>
    <t>KNAUF INSULATION SPRL</t>
  </si>
  <si>
    <t>5055</t>
  </si>
  <si>
    <t>05055-N01</t>
  </si>
  <si>
    <t>004709</t>
  </si>
  <si>
    <t>KANEKA BELGIUM OEVEL</t>
  </si>
  <si>
    <t>18061</t>
  </si>
  <si>
    <t>18061-N01</t>
  </si>
  <si>
    <t>004788</t>
  </si>
  <si>
    <t>JINDAL FILMS EUROPE VIRTON LLC</t>
  </si>
  <si>
    <t>87461</t>
  </si>
  <si>
    <t>87461-N01</t>
  </si>
  <si>
    <t>13010</t>
  </si>
  <si>
    <t>INTERVEST OFFICES HERENTALS</t>
  </si>
  <si>
    <t>1301</t>
  </si>
  <si>
    <t>01301-N01</t>
  </si>
  <si>
    <t>004778</t>
  </si>
  <si>
    <t>INTERBREW PIEDBOEUF JUPILLE</t>
  </si>
  <si>
    <t>83511</t>
  </si>
  <si>
    <t>83511-N01</t>
  </si>
  <si>
    <t>004754</t>
  </si>
  <si>
    <t>INOVYN S.A. JEMEPPE-SUR-SAMBRE</t>
  </si>
  <si>
    <t>52291</t>
  </si>
  <si>
    <t>52291-N01</t>
  </si>
  <si>
    <t>21327</t>
  </si>
  <si>
    <t>21327-N01</t>
  </si>
  <si>
    <t>INEOS ZWIJNDRECHT</t>
  </si>
  <si>
    <t>004712</t>
  </si>
  <si>
    <t>INEOS MANUFACTURING BELGIUM LILLO</t>
  </si>
  <si>
    <t>21173</t>
  </si>
  <si>
    <t>21173-N01</t>
  </si>
  <si>
    <t>005915</t>
  </si>
  <si>
    <t>INEOS FELUY SPRL 1+2</t>
  </si>
  <si>
    <t>61325</t>
  </si>
  <si>
    <t>61325-N01</t>
  </si>
  <si>
    <t>INEOS 2 FELUY SPRL</t>
  </si>
  <si>
    <t>61333</t>
  </si>
  <si>
    <t>61333-N01</t>
  </si>
  <si>
    <t>INEOS 1 FELUY SPRL</t>
  </si>
  <si>
    <t>005914</t>
  </si>
  <si>
    <t>INDUSTEEL BELGIUM CHARLEROI</t>
  </si>
  <si>
    <t>54461</t>
  </si>
  <si>
    <t>54461-N01</t>
  </si>
  <si>
    <t>005958</t>
  </si>
  <si>
    <t>INBEV LEUVEN</t>
  </si>
  <si>
    <t>31423</t>
  </si>
  <si>
    <t>31423-N01</t>
  </si>
  <si>
    <t>425350</t>
  </si>
  <si>
    <t>IMERYS TALC GENT</t>
  </si>
  <si>
    <t>42535</t>
  </si>
  <si>
    <t>42535-N01</t>
  </si>
  <si>
    <t>005293</t>
  </si>
  <si>
    <t>IMERYS MINERAUX BELGIQUE VISE</t>
  </si>
  <si>
    <t>81083</t>
  </si>
  <si>
    <t>81083-N01</t>
  </si>
  <si>
    <t>425210</t>
  </si>
  <si>
    <t>HONDA MOTOR EUROPE LOGISTICS NV GENT</t>
  </si>
  <si>
    <t>42521</t>
  </si>
  <si>
    <t>42521-N01</t>
  </si>
  <si>
    <t>004693</t>
  </si>
  <si>
    <t>HOLCIM (BELGIQUE) SA SITE DE OBOURG</t>
  </si>
  <si>
    <t>1775</t>
  </si>
  <si>
    <t>01775-N01</t>
  </si>
  <si>
    <t>005251</t>
  </si>
  <si>
    <t>GERRESHEIMER MOMIGNIES</t>
  </si>
  <si>
    <t>62291</t>
  </si>
  <si>
    <t>62291-N01</t>
  </si>
  <si>
    <t>463310</t>
  </si>
  <si>
    <t>GENENCOR BRUGGE</t>
  </si>
  <si>
    <t>46331</t>
  </si>
  <si>
    <t>46331-N01</t>
  </si>
  <si>
    <t>732830</t>
  </si>
  <si>
    <t>GABRIEL TECHNOLOGIE GHLIN</t>
  </si>
  <si>
    <t>73283</t>
  </si>
  <si>
    <t>73283-N01</t>
  </si>
  <si>
    <t>005013</t>
  </si>
  <si>
    <t>FUJI OIL EUROPE ERTVELDE</t>
  </si>
  <si>
    <t>42445</t>
  </si>
  <si>
    <t>42445-N01</t>
  </si>
  <si>
    <t>428950</t>
  </si>
  <si>
    <t>FERTIKAL KALLO</t>
  </si>
  <si>
    <t>42895</t>
  </si>
  <si>
    <t>42895-N01</t>
  </si>
  <si>
    <t>875510</t>
  </si>
  <si>
    <t>87551</t>
  </si>
  <si>
    <t>87551-N01</t>
  </si>
  <si>
    <t>007352</t>
  </si>
  <si>
    <t>FARM FRITES LOMMEL</t>
  </si>
  <si>
    <t>833210</t>
  </si>
  <si>
    <t>FABRIQUE NATIONALE HERSTAL</t>
  </si>
  <si>
    <t>83321</t>
  </si>
  <si>
    <t>83321-N01</t>
  </si>
  <si>
    <t>005921</t>
  </si>
  <si>
    <t>EXXONMOBIL PETR. &amp; CHEM. BVBA ANTWERPEN</t>
  </si>
  <si>
    <t>22363</t>
  </si>
  <si>
    <t>22363-N01</t>
  </si>
  <si>
    <t>004701</t>
  </si>
  <si>
    <t>EXXONMOBIL CHEM. BELG. MPP</t>
  </si>
  <si>
    <t>12121</t>
  </si>
  <si>
    <t>12121-N01</t>
  </si>
  <si>
    <t>004716</t>
  </si>
  <si>
    <t>EXXONMOBIL CHEM. BELG. APP</t>
  </si>
  <si>
    <t>21325</t>
  </si>
  <si>
    <t>21325-N01</t>
  </si>
  <si>
    <t>21561</t>
  </si>
  <si>
    <t>21561-N01</t>
  </si>
  <si>
    <t>EVONIK ANTWERPEN (80 BAR)</t>
  </si>
  <si>
    <t>836570</t>
  </si>
  <si>
    <t>EVERZINC BELGIUM ANGLEUR</t>
  </si>
  <si>
    <t>83657</t>
  </si>
  <si>
    <t>83657-N01</t>
  </si>
  <si>
    <t>004728</t>
  </si>
  <si>
    <t>ETERNIT KAPELLE O/D BOS</t>
  </si>
  <si>
    <t>32521</t>
  </si>
  <si>
    <t>32521-N01</t>
  </si>
  <si>
    <t>004777</t>
  </si>
  <si>
    <t>ESSITY BELGIUM STEMBERT</t>
  </si>
  <si>
    <t>81643</t>
  </si>
  <si>
    <t>81643-N01</t>
  </si>
  <si>
    <t>004749</t>
  </si>
  <si>
    <t>ERACHEM COMILOG HAUTRAGE</t>
  </si>
  <si>
    <t>44517</t>
  </si>
  <si>
    <t>44517-N01</t>
  </si>
  <si>
    <t>007298</t>
  </si>
  <si>
    <t>ECOPOWER HAM</t>
  </si>
  <si>
    <t>12097</t>
  </si>
  <si>
    <t>12097-N01</t>
  </si>
  <si>
    <t>004734</t>
  </si>
  <si>
    <t>DUROBOR GLASSWARE SOIGNIES</t>
  </si>
  <si>
    <t>34465</t>
  </si>
  <si>
    <t>34465-N01</t>
  </si>
  <si>
    <t>004781</t>
  </si>
  <si>
    <t>DUMONT-WAUTIER HERMALLE-SOUS-HUY</t>
  </si>
  <si>
    <t>86321</t>
  </si>
  <si>
    <t>86321-N01</t>
  </si>
  <si>
    <t>DUMONT WAUTIER HERMALLE-SOUS-HUY</t>
  </si>
  <si>
    <t>301350</t>
  </si>
  <si>
    <t>DOUWE EGBERTS RETAIL BELGIUM GRIMBERGEN</t>
  </si>
  <si>
    <t>30135</t>
  </si>
  <si>
    <t>30135-N01</t>
  </si>
  <si>
    <t>005016</t>
  </si>
  <si>
    <t>DICALITE EUROPE NORD GENT</t>
  </si>
  <si>
    <t>42539</t>
  </si>
  <si>
    <t>42539-N01</t>
  </si>
  <si>
    <t>180710</t>
  </si>
  <si>
    <t>DAF VLAANDEREN OEVEL</t>
  </si>
  <si>
    <t>18071</t>
  </si>
  <si>
    <t>18071-N01</t>
  </si>
  <si>
    <t>006145</t>
  </si>
  <si>
    <t>CRI CATALYST COMPANY BELGIUM</t>
  </si>
  <si>
    <t>42485</t>
  </si>
  <si>
    <t>42485-N01</t>
  </si>
  <si>
    <t>421870</t>
  </si>
  <si>
    <t>COCA-COLA ENTERPRISES BELGIUM GENT</t>
  </si>
  <si>
    <t>42187</t>
  </si>
  <si>
    <t>42187-N01</t>
  </si>
  <si>
    <t>005017</t>
  </si>
  <si>
    <t>CNH INDUSTRIAL ANTWERPEN</t>
  </si>
  <si>
    <t>21105</t>
  </si>
  <si>
    <t>21105-N01</t>
  </si>
  <si>
    <t>875530</t>
  </si>
  <si>
    <t>CMI DEFENCE SA AUBANGE</t>
  </si>
  <si>
    <t>87553</t>
  </si>
  <si>
    <t>87553-N01</t>
  </si>
  <si>
    <t>004725</t>
  </si>
  <si>
    <t>CITRIQUE BELGE TIENEN</t>
  </si>
  <si>
    <t>31153</t>
  </si>
  <si>
    <t>31153-N01</t>
  </si>
  <si>
    <t>005612</t>
  </si>
  <si>
    <t>CHIYODA GENK</t>
  </si>
  <si>
    <t>13071</t>
  </si>
  <si>
    <t>13071-N01</t>
  </si>
  <si>
    <t>424850</t>
  </si>
  <si>
    <t>CHEVRONTEXACO GHENT BLENDING PLANT</t>
  </si>
  <si>
    <t>49605</t>
  </si>
  <si>
    <t>42485-N02</t>
  </si>
  <si>
    <t>CHEVRONTEXACO BLENDING PLANT</t>
  </si>
  <si>
    <t>004699</t>
  </si>
  <si>
    <t>CHEVRON PHILLIPS CHEM. INT. TESSENDERLO</t>
  </si>
  <si>
    <t>12075</t>
  </si>
  <si>
    <t>12075-N01</t>
  </si>
  <si>
    <t>115170</t>
  </si>
  <si>
    <t>CHEVRON PHILLIPS CHEM. INT. N.V. BERINGE</t>
  </si>
  <si>
    <t>11517</t>
  </si>
  <si>
    <t>11517-N01</t>
  </si>
  <si>
    <t>CHEVRON PHILLIPS CHEM. INT. N.V. BERINGEN</t>
  </si>
  <si>
    <t>004760</t>
  </si>
  <si>
    <t>61327</t>
  </si>
  <si>
    <t>61327-N01</t>
  </si>
  <si>
    <t>CHEMVIRON S.A.</t>
  </si>
  <si>
    <t>004706</t>
  </si>
  <si>
    <t>CELANESE ACETATE</t>
  </si>
  <si>
    <t>15231</t>
  </si>
  <si>
    <t>15231-N01</t>
  </si>
  <si>
    <t>004775</t>
  </si>
  <si>
    <t>CBR LIXHE</t>
  </si>
  <si>
    <t>81081</t>
  </si>
  <si>
    <t>81081-N01</t>
  </si>
  <si>
    <t>424330</t>
  </si>
  <si>
    <t>CBR GENT</t>
  </si>
  <si>
    <t>42433</t>
  </si>
  <si>
    <t>42433-N01</t>
  </si>
  <si>
    <t>732690</t>
  </si>
  <si>
    <t>73269</t>
  </si>
  <si>
    <t>73269-N01</t>
  </si>
  <si>
    <t>004783</t>
  </si>
  <si>
    <t>CARMEUSE US. DE MOHA</t>
  </si>
  <si>
    <t>86711</t>
  </si>
  <si>
    <t>86711-N01</t>
  </si>
  <si>
    <t>004784</t>
  </si>
  <si>
    <t>CARMEUSE SEILLES</t>
  </si>
  <si>
    <t>86741</t>
  </si>
  <si>
    <t>86741-N01</t>
  </si>
  <si>
    <t>868110</t>
  </si>
  <si>
    <t>CARMEUSE ENGIS</t>
  </si>
  <si>
    <t>86811</t>
  </si>
  <si>
    <t>86811-N01</t>
  </si>
  <si>
    <t>004755</t>
  </si>
  <si>
    <t>CARMEUSE AISEMONT</t>
  </si>
  <si>
    <t>53191</t>
  </si>
  <si>
    <t>53191-N01</t>
  </si>
  <si>
    <t>211310</t>
  </si>
  <si>
    <t>CARGILL NV ANTWERPEN</t>
  </si>
  <si>
    <t>21131</t>
  </si>
  <si>
    <t>21131-N01</t>
  </si>
  <si>
    <t>004726</t>
  </si>
  <si>
    <t>CARGILL MALT HERENT</t>
  </si>
  <si>
    <t>31409</t>
  </si>
  <si>
    <t>31409-N01</t>
  </si>
  <si>
    <t>005929</t>
  </si>
  <si>
    <t>CARGILL NV GENT</t>
  </si>
  <si>
    <t>42219</t>
  </si>
  <si>
    <t>42219-N01</t>
  </si>
  <si>
    <t>CARGILL GENT</t>
  </si>
  <si>
    <t>007311</t>
  </si>
  <si>
    <t>BVBA HERDI ZWIJNDRECHT</t>
  </si>
  <si>
    <t>21435</t>
  </si>
  <si>
    <t>21435-N01</t>
  </si>
  <si>
    <t xml:space="preserve">BVBA HERDI ZWIJNDRECHT </t>
  </si>
  <si>
    <t>007170</t>
  </si>
  <si>
    <t>BURGO VIRTON</t>
  </si>
  <si>
    <t>87471</t>
  </si>
  <si>
    <t>87471-N01</t>
  </si>
  <si>
    <t>004727</t>
  </si>
  <si>
    <t>BRUSSELS AIRPORT COMPANY N.V. ZAVENTEM</t>
  </si>
  <si>
    <t>32121</t>
  </si>
  <si>
    <t>32121-N01</t>
  </si>
  <si>
    <t>004710</t>
  </si>
  <si>
    <t>BP CHEMBEL GEEL</t>
  </si>
  <si>
    <t>18091</t>
  </si>
  <si>
    <t>18091-N01</t>
  </si>
  <si>
    <t>004698</t>
  </si>
  <si>
    <t>BOREALIS POLYMERS NV BERINGEN</t>
  </si>
  <si>
    <t>11519</t>
  </si>
  <si>
    <t>11517-N02</t>
  </si>
  <si>
    <t>004744</t>
  </si>
  <si>
    <t>BOREALIS KALLO</t>
  </si>
  <si>
    <t>42887</t>
  </si>
  <si>
    <t>42887-N01</t>
  </si>
  <si>
    <t>006025</t>
  </si>
  <si>
    <t>BLANKEDALE TIENEN</t>
  </si>
  <si>
    <t>31127</t>
  </si>
  <si>
    <t>31127-N01</t>
  </si>
  <si>
    <t>005928</t>
  </si>
  <si>
    <t>BIOWANZE SA WANZE</t>
  </si>
  <si>
    <t>86455</t>
  </si>
  <si>
    <t>86455-N01</t>
  </si>
  <si>
    <t>445210</t>
  </si>
  <si>
    <t>BELREF REFRACTORIES ST-GHISLAIN</t>
  </si>
  <si>
    <t>44521</t>
  </si>
  <si>
    <t>44521-N01</t>
  </si>
  <si>
    <t>005892</t>
  </si>
  <si>
    <t>BELGOMILK KALLO</t>
  </si>
  <si>
    <t>42911</t>
  </si>
  <si>
    <t>42911-N01</t>
  </si>
  <si>
    <t>007175</t>
  </si>
  <si>
    <t>BELGOMILK CVBA LANGEMARK</t>
  </si>
  <si>
    <t>48593</t>
  </si>
  <si>
    <t>48593-N01</t>
  </si>
  <si>
    <t>513210</t>
  </si>
  <si>
    <t>BELGOMALT SA GEMBLOUX</t>
  </si>
  <si>
    <t>51321</t>
  </si>
  <si>
    <t>51321-N01</t>
  </si>
  <si>
    <t>006024</t>
  </si>
  <si>
    <t>BAXALTA / SHIRE LESSINES</t>
  </si>
  <si>
    <t>4741</t>
  </si>
  <si>
    <t>04741-N01</t>
  </si>
  <si>
    <t>004713</t>
  </si>
  <si>
    <t>BASF ANTWERPEN</t>
  </si>
  <si>
    <t>21191</t>
  </si>
  <si>
    <t>21191-N01</t>
  </si>
  <si>
    <t>007297</t>
  </si>
  <si>
    <t>BASF 2 ANTWERPEN</t>
  </si>
  <si>
    <t>21187</t>
  </si>
  <si>
    <t>21187-N01</t>
  </si>
  <si>
    <t>212210</t>
  </si>
  <si>
    <t>ATPC-VTTI ANTWERP TERMINAL PROCESSING PL</t>
  </si>
  <si>
    <t>21221</t>
  </si>
  <si>
    <t>21221-N01</t>
  </si>
  <si>
    <t>ATPC-VTTI ANTWERP TERMINAL PROCESSING PLANT ANTWERPEN</t>
  </si>
  <si>
    <t>004717</t>
  </si>
  <si>
    <t>ASHLAND SPECIALTIES BELGIUM BVBA DOEL</t>
  </si>
  <si>
    <t>21451</t>
  </si>
  <si>
    <t>21451-N01</t>
  </si>
  <si>
    <t>004715</t>
  </si>
  <si>
    <t>ARLANXEO BELGIUM ZWIJNDRECHT</t>
  </si>
  <si>
    <t>21321</t>
  </si>
  <si>
    <t>21321-N01</t>
  </si>
  <si>
    <t>005619</t>
  </si>
  <si>
    <t>SERAING OUGREE</t>
  </si>
  <si>
    <t>85081</t>
  </si>
  <si>
    <t>85081-N01</t>
  </si>
  <si>
    <t>ARCELORMITTAL LIEGE SERAING</t>
  </si>
  <si>
    <t>004879</t>
  </si>
  <si>
    <t>ARCELORMITTAL LIEGE RC KESSALES FLEMALLE</t>
  </si>
  <si>
    <t>84071</t>
  </si>
  <si>
    <t>84071-N01</t>
  </si>
  <si>
    <t>004883</t>
  </si>
  <si>
    <t>ARCELORMITTAL LIEGE IVOZ RAMET PEINT-EUR</t>
  </si>
  <si>
    <t>86207</t>
  </si>
  <si>
    <t>86207-N01</t>
  </si>
  <si>
    <t>ARCELORMITTAL LIEGE IVOZ RAMET PEINT-EUROGAL</t>
  </si>
  <si>
    <t>004882</t>
  </si>
  <si>
    <t>ARCELORMITTAL LIEGE FLEMALLE</t>
  </si>
  <si>
    <t>86121</t>
  </si>
  <si>
    <t>86121-N01</t>
  </si>
  <si>
    <t>004738</t>
  </si>
  <si>
    <t>ARCELORMITTAL GENT</t>
  </si>
  <si>
    <t>42435</t>
  </si>
  <si>
    <t>150690</t>
  </si>
  <si>
    <t>ARCELORMITTAL FCS GENK</t>
  </si>
  <si>
    <t>15069</t>
  </si>
  <si>
    <t>15069-N01</t>
  </si>
  <si>
    <t>004703</t>
  </si>
  <si>
    <t>APERAM GENK - STAINLESS EUROPE</t>
  </si>
  <si>
    <t>15053</t>
  </si>
  <si>
    <t>15053-N01</t>
  </si>
  <si>
    <t>004871</t>
  </si>
  <si>
    <t>APERAM CHÂTELET - STAINLESS EUROPE</t>
  </si>
  <si>
    <t>54163</t>
  </si>
  <si>
    <t>54163-N01</t>
  </si>
  <si>
    <t>APERAM CHÂTELET- STAINLESS EUROPE</t>
  </si>
  <si>
    <t>875430</t>
  </si>
  <si>
    <t>AMPACET BELGIUM MESSANCY</t>
  </si>
  <si>
    <t>87543</t>
  </si>
  <si>
    <t>87543-N01</t>
  </si>
  <si>
    <t>004736</t>
  </si>
  <si>
    <t>AMCOR FLEXIBLES TRANSPAC NV</t>
  </si>
  <si>
    <t>42189</t>
  </si>
  <si>
    <t>42189-N01</t>
  </si>
  <si>
    <t>004737</t>
  </si>
  <si>
    <t>ALINSO N.V. GENT</t>
  </si>
  <si>
    <t>42195</t>
  </si>
  <si>
    <t>42195-N01</t>
  </si>
  <si>
    <t>005956</t>
  </si>
  <si>
    <t>ALGIST BRUGGEMAN NV GENT</t>
  </si>
  <si>
    <t>42363</t>
  </si>
  <si>
    <t>42363-N01</t>
  </si>
  <si>
    <t>42213</t>
  </si>
  <si>
    <t>42213-N01</t>
  </si>
  <si>
    <t>004774</t>
  </si>
  <si>
    <t>AKZO NOBEL CHEMICALS GHLIN</t>
  </si>
  <si>
    <t>75709</t>
  </si>
  <si>
    <t>75709-N01</t>
  </si>
  <si>
    <t>007133</t>
  </si>
  <si>
    <t>AIR LIQUIDE ANTWERPEN SITE BASF</t>
  </si>
  <si>
    <t>21193</t>
  </si>
  <si>
    <t>21193-N01</t>
  </si>
  <si>
    <t>AIR LIQUIDE LARGE INDUSTRY</t>
  </si>
  <si>
    <t>005913</t>
  </si>
  <si>
    <t>AIR LIQUIDE LARGE INDUSTRIES CHARLEROI</t>
  </si>
  <si>
    <t>55335</t>
  </si>
  <si>
    <t>55335-N01</t>
  </si>
  <si>
    <t>AIR LIQUIDE INDUSTRIES CHARLEROI</t>
  </si>
  <si>
    <t>21201</t>
  </si>
  <si>
    <t>21201-N01</t>
  </si>
  <si>
    <t>AIR LIQUIDE II ANTWERPEN</t>
  </si>
  <si>
    <t>007188</t>
  </si>
  <si>
    <t>AGC GLASS EUROPE MOUSTIER</t>
  </si>
  <si>
    <t>51565</t>
  </si>
  <si>
    <t>51565-N01</t>
  </si>
  <si>
    <t>114310</t>
  </si>
  <si>
    <t>AGC FLAT GLASS MOL</t>
  </si>
  <si>
    <t>11431</t>
  </si>
  <si>
    <t>11431-N01</t>
  </si>
  <si>
    <t>542510</t>
  </si>
  <si>
    <t>AGC FLAT GLASS COATING SA - LODELINSART</t>
  </si>
  <si>
    <t>54251</t>
  </si>
  <si>
    <t>54251-N01</t>
  </si>
  <si>
    <t>875550</t>
  </si>
  <si>
    <t>87555</t>
  </si>
  <si>
    <t>87555-N01</t>
  </si>
  <si>
    <t>004753</t>
  </si>
  <si>
    <t>AGC AUTOMOTIVE BELGIUM FLEURUS</t>
  </si>
  <si>
    <t>52215</t>
  </si>
  <si>
    <t>52215-N01</t>
  </si>
  <si>
    <t>007157</t>
  </si>
  <si>
    <t>ADPO NV BEVEREN</t>
  </si>
  <si>
    <t>42931</t>
  </si>
  <si>
    <t>42931-N01</t>
  </si>
  <si>
    <t>007324</t>
  </si>
  <si>
    <t>ADC BEVEREN</t>
  </si>
  <si>
    <t>21465</t>
  </si>
  <si>
    <t>21465-N01</t>
  </si>
  <si>
    <t>004714</t>
  </si>
  <si>
    <t>3M BELGIUM ZWIJNDRECHT</t>
  </si>
  <si>
    <t>21313</t>
  </si>
  <si>
    <t>21313-N01</t>
  </si>
  <si>
    <t>004776</t>
  </si>
  <si>
    <t>3B-FIBREGLASS SPRL BATTICE</t>
  </si>
  <si>
    <t>81521</t>
  </si>
  <si>
    <t>81521-N01</t>
  </si>
  <si>
    <t>L-H CONVERSIE</t>
  </si>
  <si>
    <t>EIC-CODE</t>
  </si>
  <si>
    <t>ODO</t>
  </si>
  <si>
    <t>HP</t>
  </si>
  <si>
    <t>DOMESTIC EXIT POINT BALANCING</t>
  </si>
  <si>
    <t>DOMESTIC EXIT POINT TYPE</t>
  </si>
  <si>
    <t>DOMESTIC EXIT POINT EDIGAS CODE</t>
  </si>
  <si>
    <t>DOMESTIC EXIT POINT NAME</t>
  </si>
  <si>
    <t>STATION ADDRESS CITY</t>
  </si>
  <si>
    <t>STATION ADDRESS POSTAL CODE</t>
  </si>
  <si>
    <t>STATION ADDRESS NUMBER</t>
  </si>
  <si>
    <t>STATION ADDRESS STREET</t>
  </si>
  <si>
    <t>NODE TYPE</t>
  </si>
  <si>
    <t>DELIVERY POINT</t>
  </si>
  <si>
    <t>NODE CODIFICATION NUMBER</t>
  </si>
  <si>
    <t>NODE NAME</t>
  </si>
  <si>
    <t>if less than a month, monthly coefficient on top of x5</t>
  </si>
  <si>
    <t>if 1 year + 1 day, no x5 on 1 day, if 1 year + 1 month, seasonality on the month, if 1 month + 3 days, no x5 on 3 days</t>
  </si>
  <si>
    <t>if period is 25 days in june and 5 in august, pay respective days with respective seasonality factor</t>
  </si>
  <si>
    <t>if 1 month + 2 days: monthly pour le mois mais pas de x5 pour les 2 jours</t>
  </si>
  <si>
    <t>Rules</t>
  </si>
  <si>
    <t>end date is which day of the month</t>
  </si>
  <si>
    <t>Start day is which day of the month</t>
  </si>
  <si>
    <t>end is which day of the year</t>
  </si>
  <si>
    <t>start is which day of the year</t>
  </si>
  <si>
    <t>which month of the year is start date in</t>
  </si>
  <si>
    <t>december</t>
  </si>
  <si>
    <t>november</t>
  </si>
  <si>
    <t>october</t>
  </si>
  <si>
    <t>september</t>
  </si>
  <si>
    <t>august</t>
  </si>
  <si>
    <t>july</t>
  </si>
  <si>
    <t>june</t>
  </si>
  <si>
    <t>may</t>
  </si>
  <si>
    <t>april</t>
  </si>
  <si>
    <t>march</t>
  </si>
  <si>
    <t>february</t>
  </si>
  <si>
    <t>january</t>
  </si>
  <si>
    <t>HP Cost</t>
  </si>
  <si>
    <t>(Short Term) Coefficient</t>
  </si>
  <si>
    <t>Short Term Coefficient Applicable?</t>
  </si>
  <si>
    <t># days used in this month</t>
  </si>
  <si>
    <t>within this tariff period</t>
  </si>
  <si>
    <t>Month of the year</t>
  </si>
  <si>
    <t># days</t>
  </si>
  <si>
    <t>[€/MWh]</t>
  </si>
  <si>
    <t>[€/kWh/h/year]</t>
  </si>
  <si>
    <t>Amount</t>
  </si>
  <si>
    <t>Applicable Tariff for this case</t>
  </si>
  <si>
    <t>High Pressure</t>
  </si>
  <si>
    <t>H-zone or L-zone</t>
  </si>
  <si>
    <t xml:space="preserve">Total Cost </t>
  </si>
  <si>
    <t>%</t>
  </si>
  <si>
    <t>Energy in Cash</t>
  </si>
  <si>
    <t>Odo</t>
  </si>
  <si>
    <t>HP Capacity</t>
  </si>
  <si>
    <t xml:space="preserve">Firm </t>
  </si>
  <si>
    <t>L-gas</t>
  </si>
  <si>
    <t>H - gas</t>
  </si>
  <si>
    <t>PARAMETERS: TO MAINTAIN FOR INDEXATION AND/OR NEW TARIFF PERIOD</t>
  </si>
  <si>
    <t>MODEL OUTCOME</t>
  </si>
  <si>
    <t>End Date (this day included)</t>
  </si>
  <si>
    <t>Start Date</t>
  </si>
  <si>
    <t>Which end user do you want to simulate?</t>
  </si>
  <si>
    <t xml:space="preserve">Energy in Cash </t>
  </si>
  <si>
    <t>Odorisation</t>
  </si>
  <si>
    <t>Cost Breakdown</t>
  </si>
  <si>
    <t>Monthly coefficients</t>
  </si>
  <si>
    <t>how many days in start date year</t>
  </si>
  <si>
    <t>Coefficient</t>
  </si>
  <si>
    <t>this month contains X days</t>
  </si>
  <si>
    <t># Days for yearly</t>
  </si>
  <si>
    <t># Days for seasonal</t>
  </si>
  <si>
    <t>in which month is start date for yearly (but first check if early does need to apply)</t>
  </si>
  <si>
    <t>date as from which at least 1 full year</t>
  </si>
  <si>
    <t>date as from which at least 4 full years</t>
  </si>
  <si>
    <t>date as from which at least 2 full years</t>
  </si>
  <si>
    <t>date as from which at least 3 full years</t>
  </si>
  <si>
    <t>how many max full years does the date interval have</t>
  </si>
  <si>
    <t>Yearly for this month? (remark: not necessarily only yearly for this month)</t>
  </si>
  <si>
    <t>check</t>
  </si>
  <si>
    <t>Yearly finishes on this day included</t>
  </si>
  <si>
    <t>Days on yearly tariff</t>
  </si>
  <si>
    <t xml:space="preserve">Days on seasonal tariff </t>
  </si>
  <si>
    <t>Day(s) on short term coefficient</t>
  </si>
  <si>
    <t xml:space="preserve">Today's date is </t>
  </si>
  <si>
    <t>Direct Line Cost Components</t>
  </si>
  <si>
    <t>Capacity Element</t>
  </si>
  <si>
    <t>Distance Element</t>
  </si>
  <si>
    <t>H-grid</t>
  </si>
  <si>
    <t>L-grid</t>
  </si>
  <si>
    <t>€/kWh/h/year</t>
  </si>
  <si>
    <t>Distance for Momignies</t>
  </si>
  <si>
    <t>Distance for Veldwezelt</t>
  </si>
  <si>
    <t>€/kWh/h/km/year</t>
  </si>
  <si>
    <t>Will a ST coefficient be applicable?</t>
  </si>
  <si>
    <t>Automatic Remarks Concerning your above request</t>
  </si>
  <si>
    <t>Is this an End User on a Direct Line?</t>
  </si>
  <si>
    <t xml:space="preserve">Capacity Price Applicable </t>
  </si>
  <si>
    <t>Momignies is H, Veldtwezelt is L</t>
  </si>
  <si>
    <t xml:space="preserve">Distance Price Applicable </t>
  </si>
  <si>
    <t>Applicable Distance</t>
  </si>
  <si>
    <t>km</t>
  </si>
  <si>
    <t>is direct line applicable?</t>
  </si>
  <si>
    <t>Data to show on the graph</t>
  </si>
  <si>
    <t>Direct Line Applicable elements</t>
  </si>
  <si>
    <t>Capacity element</t>
  </si>
  <si>
    <t>OSTEND BASIC CHEMICALS NV OOSTENDE</t>
  </si>
  <si>
    <r>
      <t xml:space="preserve">Instructions: 
</t>
    </r>
    <r>
      <rPr>
        <i/>
        <sz val="8"/>
        <rFont val="Arial"/>
        <family val="2"/>
      </rPr>
      <t>This tool makes it possible to calculate the exit capacity costs invoiced by Fluxys Belgium on End User Domestic Exit Points and Distribution Domestic Exit Points. Hence, please note the entry component for bringing in gas into the Belgian grid is not reflected here. 
Fill in the grey fields to see the cost estimation be updated in real time.
Date format cells (start and end date) have to completed in text in English, ex: "31 december 2020"
You have to fill in the field 'How much gas will have been consumed" if you want to calculate the Odorisation and Energy in Cash cost components. If not, leave this field blank.
You have to fill in the field 'Average ZTP DA price index over flow period?" if you want to calculate the Energy in Cash cost component. If not, leave this field blank.</t>
    </r>
  </si>
  <si>
    <t>How was this price obtained?</t>
  </si>
  <si>
    <t xml:space="preserve">REQUIRED INPUT </t>
  </si>
  <si>
    <t>High-calorific gas</t>
  </si>
  <si>
    <t>Low-calorific gas</t>
  </si>
  <si>
    <t>RPS</t>
  </si>
  <si>
    <t>yellow: cell has been updated vs 2019 excel version</t>
  </si>
  <si>
    <t>Reduced Pressure Service</t>
  </si>
  <si>
    <t>RPS Cost</t>
  </si>
  <si>
    <t>42435-N02</t>
  </si>
  <si>
    <t>BELASCO GENT</t>
  </si>
  <si>
    <t>42475-N01</t>
  </si>
  <si>
    <t>42475</t>
  </si>
  <si>
    <t>007300</t>
  </si>
  <si>
    <t>11031-N01</t>
  </si>
  <si>
    <t>11031</t>
  </si>
  <si>
    <t>INEOS NV + INEOS OXIDE UTILITIES NV ZWIJ</t>
  </si>
  <si>
    <t>LANXESS LILLO + PP/CHP COVESTRO ANTWERP</t>
  </si>
  <si>
    <t>LOCK'O ATHUS</t>
  </si>
  <si>
    <t xml:space="preserve">LOCK'O ATHUS </t>
  </si>
  <si>
    <t>42499-N02</t>
  </si>
  <si>
    <t xml:space="preserve">PP/ GENERATION BRUSSELS VILVOORDE </t>
  </si>
  <si>
    <t>PP/CHP COVESTRO ANTWERPEN</t>
  </si>
  <si>
    <t>PP/CHP EBL EVONIK DEGUSSA 2 ANTWERPEN</t>
  </si>
  <si>
    <t>PP/CHP EBL EVONIK DEGUSSA ANTWERPEN</t>
  </si>
  <si>
    <t>PP/CHP INEOS OXIDE UTILITIES NV ZWIJNDRECHT</t>
  </si>
  <si>
    <t>PP/CHP MONSANTO ANTWERPEN</t>
  </si>
  <si>
    <t>21581-N02</t>
  </si>
  <si>
    <t>21583</t>
  </si>
  <si>
    <t>SMURFIT KAPPA CARTOMILLS GHLIN</t>
  </si>
  <si>
    <t>TEREOS STARCH &amp; SWEETENERS BELGIUM AALST</t>
  </si>
  <si>
    <t>TESSENDERLO CHEMIE HAM</t>
  </si>
  <si>
    <t>12105-N01</t>
  </si>
  <si>
    <t>12105</t>
  </si>
  <si>
    <t>007185</t>
  </si>
  <si>
    <t>TRICO BELGIUM SA AUBANGE</t>
  </si>
  <si>
    <t>Average ZTP DA price index over period?</t>
  </si>
  <si>
    <t>How much gas will have flown? (estimated)</t>
  </si>
  <si>
    <t>H-gas or L-gas Distribution Domestic Exit Point?</t>
  </si>
  <si>
    <t>How much capacity do you request?</t>
  </si>
  <si>
    <t>This already contains the 1.45 multiplied by the monthly factors</t>
  </si>
  <si>
    <t>(max 31/12/2023)</t>
  </si>
  <si>
    <t>(min 01/01/2020)</t>
  </si>
  <si>
    <t>Seasonal coefficient also applies for these days.</t>
  </si>
  <si>
    <t>Text for title Distribution Domestic Exit</t>
  </si>
  <si>
    <t>Text for title End User Domestic Exit</t>
  </si>
  <si>
    <t>Distribution Domestic Exit Point (connected with the DSO network: for public distribution)</t>
  </si>
  <si>
    <t>CALCULATION and FORMULA'S (automatic formula's; DO NOT change this)</t>
  </si>
  <si>
    <t>Coefficient (none on DP)</t>
  </si>
  <si>
    <t xml:space="preserve">PP/ EDF LUMINUS GENT HAM UFM (CC) </t>
  </si>
  <si>
    <t>3B FIBREGLASS SPRL BATTICE</t>
  </si>
  <si>
    <t>End User Domestic Exit Point (End User directly connected to the Fluxys grid)</t>
  </si>
  <si>
    <t>How much capacity will you be allocated ? (explanation below)</t>
  </si>
  <si>
    <t>How much gas will be allocated? (i.e. estimated consumption)</t>
  </si>
  <si>
    <r>
      <rPr>
        <b/>
        <sz val="12"/>
        <color theme="1"/>
        <rFont val="Calibri"/>
        <family val="2"/>
        <scheme val="minor"/>
      </rPr>
      <t>Remark:</t>
    </r>
    <r>
      <rPr>
        <sz val="12"/>
        <color theme="1"/>
        <rFont val="Calibri"/>
        <family val="2"/>
        <scheme val="minor"/>
      </rPr>
      <t xml:space="preserve"> Capacities at Distribution Domestic Exit Points cannot be subscribed ex-ante but are allocated by Fluxys ex-post, based on the consumed quantities. (See ACT attachment B; 3.7.1.)</t>
    </r>
  </si>
  <si>
    <r>
      <t xml:space="preserve">Disclaimer:
</t>
    </r>
    <r>
      <rPr>
        <sz val="8"/>
        <rFont val="Arial"/>
        <family val="2"/>
      </rPr>
      <t>Please note the information in this Price Simulator and its results are indicative and not legally binding. The Price Simulator is presented for support and information purposes only. The prices resulting from the use of the Price Simualtor are not to be considered as contractual offers or a basis for contesting invoices of Fluxys Belgium. Under no circumstances may Fluxys Belgium be held liable for the information provided by this Price Simulator or for the use of such information.
The calculated tariffs are presented before tax and with rounding applied. 
Only tariffs for 2020 are currently known. Tariffs for  years as from 2021 are not yet known (modifications due to yearly indexation or due to potential tariff modification after the current tariff period are possible in the future). The calculations in this sheet assume that the 2020 applicable tariffs remain identical in the future years. 
Not all combinations of capacity type, period and point might be bookable.
Odorisation costs on Distribution Domestic Exit Points are not reflected as they are not invoiced to the shipper but to the DSO.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</si>
</sst>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0.000000"/>
    <numFmt numFmtId="166" formatCode="0.000"/>
    <numFmt numFmtId="167" formatCode="_([$€-2]\ * #,##0.00_);_([$€-2]\ * \(#,##0.00\);_([$€-2]\ * &quot;-&quot;??_);_(@_)"/>
    <numFmt numFmtId="168" formatCode="[$€-2]\ #,##0_);\([$€-2]\ #,##0\)"/>
    <numFmt numFmtId="169" formatCode="_([$€-2]\ * #,##0_);_([$€-2]\ * \(#,##0\);_([$€-2]\ * &quot;-&quot;??_);_(@_)"/>
    <numFmt numFmtId="170" formatCode="0.0000"/>
    <numFmt numFmtId="171" formatCode="0.0"/>
    <numFmt numFmtId="172" formatCode="[$-409]mmmm\ d\,\ yyyy;@"/>
    <numFmt numFmtId="173" formatCode="[$-F800]dddd\,\ mmmm\ dd\,\ yyyy"/>
    <numFmt numFmtId="174" formatCode="0.00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9"/>
      <color rgb="FF000000"/>
      <name val="Arial"/>
      <family val="2"/>
    </font>
    <font>
      <sz val="9"/>
      <name val="Calibri"/>
      <family val="2"/>
    </font>
    <font>
      <b/>
      <sz val="9"/>
      <color rgb="FFFFFFFF"/>
      <name val="Arial"/>
      <family val="2"/>
    </font>
    <font>
      <u/>
      <sz val="11"/>
      <color theme="1"/>
      <name val="Calibri"/>
      <family val="2"/>
      <scheme val="minor"/>
    </font>
    <font>
      <b/>
      <i/>
      <u/>
      <sz val="8"/>
      <name val="Arial"/>
      <family val="2"/>
    </font>
    <font>
      <sz val="8"/>
      <name val="Arial"/>
      <family val="2"/>
    </font>
    <font>
      <i/>
      <sz val="8"/>
      <name val="Arial"/>
      <family val="2"/>
    </font>
    <font>
      <b/>
      <sz val="14"/>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4682B4"/>
        <bgColor rgb="FF4682B4"/>
      </patternFill>
    </fill>
    <fill>
      <patternFill patternType="solid">
        <fgColor rgb="FFD2CCC6"/>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FFFFFF"/>
      </patternFill>
    </fill>
    <fill>
      <patternFill patternType="solid">
        <fgColor rgb="FFF2F2F2"/>
        <bgColor rgb="FFF2F2F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3" fillId="0" borderId="0"/>
    <xf numFmtId="164" fontId="13" fillId="0" borderId="0" applyFont="0" applyFill="0" applyBorder="0" applyAlignment="0" applyProtection="0"/>
    <xf numFmtId="9" fontId="13" fillId="0" borderId="0" applyFont="0" applyFill="0" applyBorder="0" applyAlignment="0" applyProtection="0"/>
  </cellStyleXfs>
  <cellXfs count="203">
    <xf numFmtId="0" fontId="0" fillId="0" borderId="0" xfId="0"/>
    <xf numFmtId="0" fontId="13" fillId="0" borderId="0" xfId="1"/>
    <xf numFmtId="0" fontId="13" fillId="0" borderId="0" xfId="1" applyFill="1"/>
    <xf numFmtId="0" fontId="13" fillId="0" borderId="1" xfId="1" applyBorder="1"/>
    <xf numFmtId="0" fontId="14" fillId="0" borderId="1" xfId="1" applyFont="1" applyBorder="1"/>
    <xf numFmtId="0" fontId="13" fillId="0" borderId="0" xfId="1" applyBorder="1"/>
    <xf numFmtId="0" fontId="13" fillId="0" borderId="0" xfId="1" applyFill="1" applyBorder="1"/>
    <xf numFmtId="0" fontId="14" fillId="0" borderId="1" xfId="1" applyFont="1" applyFill="1" applyBorder="1"/>
    <xf numFmtId="14" fontId="13" fillId="0" borderId="0" xfId="1" applyNumberFormat="1"/>
    <xf numFmtId="0" fontId="13" fillId="0" borderId="1" xfId="1" applyFont="1" applyBorder="1"/>
    <xf numFmtId="0" fontId="12" fillId="0" borderId="0" xfId="1" applyFont="1" applyFill="1" applyBorder="1"/>
    <xf numFmtId="14" fontId="13" fillId="0" borderId="0" xfId="1" applyNumberFormat="1" applyFill="1" applyBorder="1"/>
    <xf numFmtId="3" fontId="13" fillId="0" borderId="1" xfId="1" applyNumberFormat="1" applyFill="1" applyBorder="1"/>
    <xf numFmtId="3" fontId="13" fillId="0" borderId="0" xfId="1" applyNumberFormat="1"/>
    <xf numFmtId="0" fontId="10" fillId="0" borderId="1" xfId="1" applyFont="1" applyBorder="1"/>
    <xf numFmtId="14" fontId="10" fillId="0" borderId="1" xfId="1" applyNumberFormat="1" applyFont="1" applyBorder="1"/>
    <xf numFmtId="3" fontId="12" fillId="0" borderId="1" xfId="1" applyNumberFormat="1" applyFont="1" applyFill="1" applyBorder="1"/>
    <xf numFmtId="0" fontId="10" fillId="0" borderId="0" xfId="1" applyFont="1" applyFill="1"/>
    <xf numFmtId="0" fontId="18" fillId="0" borderId="0" xfId="1" quotePrefix="1" applyFont="1"/>
    <xf numFmtId="0" fontId="9" fillId="0" borderId="0" xfId="1" applyFont="1"/>
    <xf numFmtId="0" fontId="13" fillId="4" borderId="0" xfId="1" applyFill="1"/>
    <xf numFmtId="0" fontId="14" fillId="0" borderId="0" xfId="1" applyFont="1" applyFill="1"/>
    <xf numFmtId="0" fontId="8" fillId="0" borderId="0" xfId="1" applyFont="1"/>
    <xf numFmtId="0" fontId="19" fillId="0" borderId="0" xfId="0" applyFont="1" applyBorder="1" applyAlignment="1">
      <alignment horizontal="left" wrapText="1"/>
    </xf>
    <xf numFmtId="0" fontId="14" fillId="4" borderId="0" xfId="1" applyFont="1" applyFill="1" applyProtection="1">
      <protection hidden="1"/>
    </xf>
    <xf numFmtId="0" fontId="13" fillId="0" borderId="0" xfId="1" applyProtection="1">
      <protection hidden="1"/>
    </xf>
    <xf numFmtId="0" fontId="13" fillId="0" borderId="0" xfId="1" applyFill="1" applyProtection="1">
      <protection hidden="1"/>
    </xf>
    <xf numFmtId="14" fontId="13" fillId="0" borderId="0" xfId="1" applyNumberFormat="1" applyProtection="1">
      <protection hidden="1"/>
    </xf>
    <xf numFmtId="0" fontId="13" fillId="3" borderId="0" xfId="1" applyFill="1" applyProtection="1">
      <protection hidden="1"/>
    </xf>
    <xf numFmtId="0" fontId="14" fillId="0" borderId="0" xfId="1" applyFont="1" applyFill="1" applyProtection="1">
      <protection hidden="1"/>
    </xf>
    <xf numFmtId="173" fontId="13" fillId="0" borderId="0" xfId="1" applyNumberFormat="1" applyProtection="1">
      <protection hidden="1"/>
    </xf>
    <xf numFmtId="0" fontId="14" fillId="0" borderId="1" xfId="1" applyFont="1" applyFill="1" applyBorder="1" applyProtection="1">
      <protection hidden="1"/>
    </xf>
    <xf numFmtId="0" fontId="13" fillId="0" borderId="1" xfId="1" applyBorder="1" applyProtection="1">
      <protection hidden="1"/>
    </xf>
    <xf numFmtId="0" fontId="14" fillId="0" borderId="1" xfId="1" applyFont="1" applyBorder="1" applyAlignment="1" applyProtection="1">
      <protection hidden="1"/>
    </xf>
    <xf numFmtId="169" fontId="13" fillId="0" borderId="1" xfId="1" applyNumberFormat="1" applyFont="1" applyFill="1" applyBorder="1" applyProtection="1">
      <protection hidden="1"/>
    </xf>
    <xf numFmtId="169" fontId="13" fillId="0" borderId="1" xfId="2" applyNumberFormat="1" applyFont="1" applyFill="1" applyBorder="1" applyProtection="1">
      <protection hidden="1"/>
    </xf>
    <xf numFmtId="0" fontId="14" fillId="0" borderId="7" xfId="1" applyFont="1" applyFill="1" applyBorder="1" applyProtection="1">
      <protection hidden="1"/>
    </xf>
    <xf numFmtId="168" fontId="13" fillId="0" borderId="1" xfId="1" applyNumberFormat="1" applyFont="1" applyFill="1" applyBorder="1" applyProtection="1">
      <protection hidden="1"/>
    </xf>
    <xf numFmtId="0" fontId="14" fillId="0" borderId="0" xfId="1" applyFont="1" applyFill="1" applyBorder="1" applyAlignment="1" applyProtection="1">
      <alignment horizontal="center"/>
      <protection hidden="1"/>
    </xf>
    <xf numFmtId="0" fontId="14" fillId="0" borderId="1" xfId="1" applyFont="1" applyBorder="1" applyProtection="1">
      <protection hidden="1"/>
    </xf>
    <xf numFmtId="0" fontId="13" fillId="0" borderId="1" xfId="1" applyFont="1" applyBorder="1" applyAlignment="1" applyProtection="1">
      <alignment horizontal="right"/>
      <protection hidden="1"/>
    </xf>
    <xf numFmtId="0" fontId="14" fillId="0" borderId="1" xfId="1" applyFont="1" applyBorder="1" applyAlignment="1" applyProtection="1">
      <alignment horizontal="right"/>
      <protection hidden="1"/>
    </xf>
    <xf numFmtId="0" fontId="14" fillId="0" borderId="0" xfId="1" applyFont="1" applyBorder="1" applyProtection="1">
      <protection hidden="1"/>
    </xf>
    <xf numFmtId="0" fontId="13" fillId="0" borderId="1" xfId="1" applyFill="1" applyBorder="1" applyProtection="1">
      <protection hidden="1"/>
    </xf>
    <xf numFmtId="0" fontId="13" fillId="0" borderId="0" xfId="1" applyBorder="1" applyProtection="1">
      <protection hidden="1"/>
    </xf>
    <xf numFmtId="0" fontId="14" fillId="3" borderId="0" xfId="1" applyFont="1" applyFill="1" applyBorder="1" applyAlignment="1" applyProtection="1">
      <protection hidden="1"/>
    </xf>
    <xf numFmtId="0" fontId="14" fillId="0" borderId="0" xfId="1" applyFont="1" applyFill="1" applyBorder="1" applyAlignment="1" applyProtection="1">
      <protection hidden="1"/>
    </xf>
    <xf numFmtId="0" fontId="13" fillId="3" borderId="0" xfId="1" applyFill="1" applyBorder="1" applyProtection="1">
      <protection hidden="1"/>
    </xf>
    <xf numFmtId="0" fontId="13" fillId="0" borderId="0" xfId="1" applyFill="1" applyBorder="1" applyProtection="1">
      <protection hidden="1"/>
    </xf>
    <xf numFmtId="167" fontId="13" fillId="0" borderId="0" xfId="1" applyNumberFormat="1" applyFill="1" applyBorder="1" applyProtection="1">
      <protection hidden="1"/>
    </xf>
    <xf numFmtId="0" fontId="14" fillId="0" borderId="0" xfId="1" applyFont="1" applyProtection="1">
      <protection hidden="1"/>
    </xf>
    <xf numFmtId="0" fontId="12" fillId="0" borderId="0" xfId="1" applyFont="1" applyFill="1" applyBorder="1" applyProtection="1">
      <protection hidden="1"/>
    </xf>
    <xf numFmtId="0" fontId="12" fillId="0" borderId="0" xfId="1" applyFont="1" applyFill="1" applyBorder="1" applyAlignment="1" applyProtection="1">
      <protection hidden="1"/>
    </xf>
    <xf numFmtId="0" fontId="11" fillId="3" borderId="0" xfId="1" applyFont="1" applyFill="1" applyProtection="1">
      <protection hidden="1"/>
    </xf>
    <xf numFmtId="0" fontId="14" fillId="0" borderId="0" xfId="1" applyFont="1" applyFill="1" applyBorder="1" applyProtection="1">
      <protection hidden="1"/>
    </xf>
    <xf numFmtId="0" fontId="13" fillId="0" borderId="0" xfId="1" applyBorder="1" applyAlignment="1" applyProtection="1">
      <alignment horizontal="right"/>
      <protection hidden="1"/>
    </xf>
    <xf numFmtId="0" fontId="14" fillId="0" borderId="0" xfId="1" applyFont="1" applyBorder="1" applyAlignment="1" applyProtection="1">
      <alignment horizontal="center"/>
      <protection hidden="1"/>
    </xf>
    <xf numFmtId="0" fontId="10" fillId="3" borderId="0" xfId="1" applyFont="1" applyFill="1" applyBorder="1" applyProtection="1">
      <protection hidden="1"/>
    </xf>
    <xf numFmtId="0" fontId="10" fillId="0" borderId="0" xfId="1" applyFont="1" applyFill="1" applyBorder="1" applyProtection="1">
      <protection hidden="1"/>
    </xf>
    <xf numFmtId="0" fontId="14" fillId="0" borderId="1" xfId="1" applyFont="1" applyFill="1" applyBorder="1" applyAlignment="1" applyProtection="1">
      <protection hidden="1"/>
    </xf>
    <xf numFmtId="17" fontId="13" fillId="0" borderId="1" xfId="1" applyNumberFormat="1" applyBorder="1" applyProtection="1">
      <protection hidden="1"/>
    </xf>
    <xf numFmtId="14" fontId="13" fillId="0" borderId="1" xfId="1" applyNumberFormat="1" applyFont="1" applyFill="1" applyBorder="1" applyProtection="1">
      <protection hidden="1"/>
    </xf>
    <xf numFmtId="2" fontId="13" fillId="0" borderId="1" xfId="1" applyNumberFormat="1" applyFill="1" applyBorder="1" applyProtection="1">
      <protection hidden="1"/>
    </xf>
    <xf numFmtId="3" fontId="11" fillId="0" borderId="1" xfId="1" applyNumberFormat="1" applyFont="1" applyFill="1" applyBorder="1" applyProtection="1">
      <protection hidden="1"/>
    </xf>
    <xf numFmtId="0" fontId="10" fillId="0" borderId="1" xfId="1" applyFont="1" applyFill="1" applyBorder="1" applyProtection="1">
      <protection hidden="1"/>
    </xf>
    <xf numFmtId="3" fontId="13" fillId="0" borderId="1" xfId="1" applyNumberFormat="1" applyFill="1" applyBorder="1" applyProtection="1">
      <protection hidden="1"/>
    </xf>
    <xf numFmtId="3" fontId="10" fillId="0" borderId="1" xfId="1" applyNumberFormat="1" applyFont="1" applyFill="1" applyBorder="1" applyProtection="1">
      <protection hidden="1"/>
    </xf>
    <xf numFmtId="2" fontId="10" fillId="0" borderId="1" xfId="1" applyNumberFormat="1" applyFont="1" applyFill="1" applyBorder="1" applyProtection="1">
      <protection hidden="1"/>
    </xf>
    <xf numFmtId="167" fontId="10" fillId="0" borderId="1" xfId="1" applyNumberFormat="1" applyFont="1" applyFill="1" applyBorder="1" applyAlignment="1" applyProtection="1">
      <alignment vertical="center"/>
      <protection hidden="1"/>
    </xf>
    <xf numFmtId="167" fontId="12" fillId="0" borderId="1" xfId="1" applyNumberFormat="1" applyFont="1" applyFill="1" applyBorder="1" applyAlignment="1" applyProtection="1">
      <alignment vertical="center"/>
      <protection hidden="1"/>
    </xf>
    <xf numFmtId="17" fontId="13" fillId="0" borderId="0" xfId="1" applyNumberFormat="1" applyBorder="1" applyProtection="1">
      <protection hidden="1"/>
    </xf>
    <xf numFmtId="14" fontId="13" fillId="0" borderId="0" xfId="1" applyNumberFormat="1" applyFont="1" applyFill="1" applyBorder="1" applyProtection="1">
      <protection hidden="1"/>
    </xf>
    <xf numFmtId="2" fontId="13" fillId="0" borderId="0" xfId="1" applyNumberFormat="1" applyFill="1" applyBorder="1" applyProtection="1">
      <protection hidden="1"/>
    </xf>
    <xf numFmtId="0" fontId="13" fillId="0" borderId="0" xfId="1" applyFill="1" applyBorder="1" applyAlignment="1" applyProtection="1">
      <alignment horizontal="center" vertical="center"/>
      <protection hidden="1"/>
    </xf>
    <xf numFmtId="0" fontId="13" fillId="0" borderId="0" xfId="1" applyBorder="1" applyAlignment="1" applyProtection="1">
      <alignment horizontal="center" vertical="center"/>
      <protection hidden="1"/>
    </xf>
    <xf numFmtId="171" fontId="13" fillId="0" borderId="0" xfId="1" applyNumberFormat="1" applyFill="1" applyBorder="1" applyProtection="1">
      <protection hidden="1"/>
    </xf>
    <xf numFmtId="3" fontId="11" fillId="0" borderId="0" xfId="1" applyNumberFormat="1" applyFont="1" applyFill="1" applyBorder="1" applyProtection="1">
      <protection hidden="1"/>
    </xf>
    <xf numFmtId="3" fontId="10" fillId="0" borderId="0" xfId="1" applyNumberFormat="1" applyFont="1" applyFill="1" applyBorder="1" applyAlignment="1" applyProtection="1">
      <alignment horizontal="center" vertical="center"/>
      <protection hidden="1"/>
    </xf>
    <xf numFmtId="3" fontId="13" fillId="0" borderId="0" xfId="1" applyNumberFormat="1" applyFill="1" applyBorder="1" applyProtection="1">
      <protection hidden="1"/>
    </xf>
    <xf numFmtId="3" fontId="10" fillId="0" borderId="0" xfId="1" applyNumberFormat="1" applyFont="1" applyFill="1" applyBorder="1" applyProtection="1">
      <protection hidden="1"/>
    </xf>
    <xf numFmtId="2" fontId="10" fillId="0" borderId="0" xfId="1" applyNumberFormat="1" applyFont="1" applyFill="1" applyBorder="1" applyProtection="1">
      <protection hidden="1"/>
    </xf>
    <xf numFmtId="167" fontId="10" fillId="0" borderId="0" xfId="1" applyNumberFormat="1" applyFont="1" applyFill="1" applyBorder="1" applyAlignment="1" applyProtection="1">
      <alignment vertical="center"/>
      <protection hidden="1"/>
    </xf>
    <xf numFmtId="167" fontId="12" fillId="0" borderId="0" xfId="1" applyNumberFormat="1" applyFont="1" applyFill="1" applyBorder="1" applyAlignment="1" applyProtection="1">
      <alignment vertical="center"/>
      <protection hidden="1"/>
    </xf>
    <xf numFmtId="167" fontId="13" fillId="0" borderId="0" xfId="1" applyNumberFormat="1" applyBorder="1" applyAlignment="1" applyProtection="1">
      <protection hidden="1"/>
    </xf>
    <xf numFmtId="167" fontId="14" fillId="0" borderId="0" xfId="1" applyNumberFormat="1" applyFont="1" applyFill="1" applyBorder="1" applyAlignment="1" applyProtection="1">
      <protection hidden="1"/>
    </xf>
    <xf numFmtId="14" fontId="13" fillId="0" borderId="1" xfId="1" applyNumberFormat="1" applyFill="1" applyBorder="1" applyProtection="1">
      <protection hidden="1"/>
    </xf>
    <xf numFmtId="0" fontId="12" fillId="0" borderId="0" xfId="1" applyFont="1" applyFill="1" applyProtection="1">
      <protection hidden="1"/>
    </xf>
    <xf numFmtId="14" fontId="13" fillId="0" borderId="0" xfId="1" applyNumberFormat="1" applyProtection="1">
      <protection hidden="1"/>
    </xf>
    <xf numFmtId="0" fontId="0" fillId="0" borderId="0" xfId="0" applyProtection="1">
      <protection hidden="1"/>
    </xf>
    <xf numFmtId="166" fontId="13" fillId="0" borderId="1" xfId="1" applyNumberFormat="1" applyFill="1" applyBorder="1" applyProtection="1">
      <protection hidden="1"/>
    </xf>
    <xf numFmtId="170" fontId="13" fillId="0" borderId="1" xfId="1" applyNumberFormat="1" applyFill="1" applyBorder="1" applyAlignment="1" applyProtection="1">
      <alignment horizontal="center"/>
      <protection hidden="1"/>
    </xf>
    <xf numFmtId="14" fontId="13" fillId="0" borderId="0" xfId="1" applyNumberFormat="1" applyFill="1" applyProtection="1">
      <protection hidden="1"/>
    </xf>
    <xf numFmtId="166" fontId="0" fillId="0" borderId="1" xfId="3" applyNumberFormat="1" applyFont="1" applyBorder="1" applyProtection="1">
      <protection hidden="1"/>
    </xf>
    <xf numFmtId="0" fontId="17" fillId="2" borderId="3" xfId="1" applyNumberFormat="1" applyFont="1" applyFill="1" applyBorder="1" applyAlignment="1" applyProtection="1">
      <alignment wrapText="1" readingOrder="1"/>
      <protection hidden="1"/>
    </xf>
    <xf numFmtId="0" fontId="16" fillId="0" borderId="0" xfId="1" applyFont="1" applyFill="1" applyBorder="1" applyProtection="1">
      <protection hidden="1"/>
    </xf>
    <xf numFmtId="49" fontId="15" fillId="0" borderId="2" xfId="1" applyNumberFormat="1" applyFont="1" applyFill="1" applyBorder="1" applyAlignment="1" applyProtection="1">
      <alignment horizontal="center" vertical="top" wrapText="1" readingOrder="1"/>
      <protection hidden="1"/>
    </xf>
    <xf numFmtId="0" fontId="6" fillId="0" borderId="0" xfId="1" applyFont="1" applyProtection="1">
      <protection hidden="1"/>
    </xf>
    <xf numFmtId="0" fontId="6" fillId="0" borderId="1" xfId="1" applyFont="1" applyBorder="1" applyProtection="1">
      <protection hidden="1"/>
    </xf>
    <xf numFmtId="0" fontId="6" fillId="0" borderId="1" xfId="1" applyFont="1" applyBorder="1"/>
    <xf numFmtId="0" fontId="14" fillId="0" borderId="0" xfId="1" applyFont="1" applyAlignment="1"/>
    <xf numFmtId="14" fontId="14" fillId="0" borderId="1" xfId="1" applyNumberFormat="1" applyFont="1" applyBorder="1"/>
    <xf numFmtId="0" fontId="6" fillId="0" borderId="1" xfId="1" applyFont="1" applyFill="1" applyBorder="1" applyProtection="1">
      <protection hidden="1"/>
    </xf>
    <xf numFmtId="174" fontId="6" fillId="0" borderId="1" xfId="1" applyNumberFormat="1" applyFont="1" applyBorder="1" applyProtection="1">
      <protection hidden="1"/>
    </xf>
    <xf numFmtId="174" fontId="13" fillId="0" borderId="1" xfId="1" applyNumberFormat="1" applyBorder="1" applyProtection="1">
      <protection hidden="1"/>
    </xf>
    <xf numFmtId="174" fontId="6" fillId="0" borderId="0" xfId="1" applyNumberFormat="1" applyFont="1" applyProtection="1">
      <protection hidden="1"/>
    </xf>
    <xf numFmtId="0" fontId="5" fillId="0" borderId="1" xfId="1" applyFont="1" applyBorder="1" applyProtection="1">
      <protection hidden="1"/>
    </xf>
    <xf numFmtId="0" fontId="5" fillId="0" borderId="0" xfId="1" applyFont="1" applyProtection="1">
      <protection hidden="1"/>
    </xf>
    <xf numFmtId="167" fontId="13" fillId="0" borderId="1" xfId="1" applyNumberFormat="1" applyBorder="1" applyProtection="1">
      <protection hidden="1"/>
    </xf>
    <xf numFmtId="0" fontId="5" fillId="0" borderId="1" xfId="1" applyFont="1" applyFill="1" applyBorder="1" applyProtection="1">
      <protection hidden="1"/>
    </xf>
    <xf numFmtId="0" fontId="5" fillId="0" borderId="0" xfId="1" applyFont="1" applyFill="1" applyBorder="1" applyProtection="1">
      <protection hidden="1"/>
    </xf>
    <xf numFmtId="167" fontId="13" fillId="0" borderId="0" xfId="1" applyNumberFormat="1" applyBorder="1" applyProtection="1">
      <protection hidden="1"/>
    </xf>
    <xf numFmtId="169" fontId="5" fillId="0" borderId="1" xfId="1" applyNumberFormat="1" applyFont="1" applyBorder="1" applyProtection="1">
      <protection hidden="1"/>
    </xf>
    <xf numFmtId="0" fontId="5" fillId="0" borderId="1" xfId="1" applyFont="1" applyBorder="1" applyAlignment="1" applyProtection="1">
      <protection hidden="1"/>
    </xf>
    <xf numFmtId="167" fontId="5" fillId="0" borderId="1" xfId="1" applyNumberFormat="1" applyFont="1" applyFill="1" applyBorder="1" applyProtection="1">
      <protection hidden="1"/>
    </xf>
    <xf numFmtId="167" fontId="5" fillId="0" borderId="1" xfId="1" applyNumberFormat="1" applyFont="1" applyBorder="1" applyProtection="1">
      <protection hidden="1"/>
    </xf>
    <xf numFmtId="2" fontId="4" fillId="0" borderId="0" xfId="1" applyNumberFormat="1" applyFont="1" applyFill="1" applyBorder="1"/>
    <xf numFmtId="0" fontId="4" fillId="0" borderId="0" xfId="1" applyFont="1" applyProtection="1">
      <protection hidden="1"/>
    </xf>
    <xf numFmtId="0" fontId="4" fillId="0" borderId="1" xfId="1" applyFont="1" applyBorder="1" applyProtection="1">
      <protection hidden="1"/>
    </xf>
    <xf numFmtId="166" fontId="13" fillId="6" borderId="1" xfId="1" applyNumberFormat="1" applyFill="1" applyBorder="1" applyProtection="1">
      <protection hidden="1"/>
    </xf>
    <xf numFmtId="0" fontId="13" fillId="6" borderId="1" xfId="1" applyFill="1" applyBorder="1" applyProtection="1">
      <protection hidden="1"/>
    </xf>
    <xf numFmtId="0" fontId="4" fillId="6" borderId="0" xfId="1" applyFont="1" applyFill="1" applyProtection="1">
      <protection hidden="1"/>
    </xf>
    <xf numFmtId="0" fontId="4" fillId="6" borderId="1" xfId="1" applyFont="1" applyFill="1" applyBorder="1" applyProtection="1">
      <protection hidden="1"/>
    </xf>
    <xf numFmtId="167" fontId="5" fillId="6" borderId="1" xfId="1" applyNumberFormat="1" applyFont="1" applyFill="1" applyBorder="1" applyProtection="1">
      <protection hidden="1"/>
    </xf>
    <xf numFmtId="0" fontId="14" fillId="6" borderId="1" xfId="1" applyFont="1" applyFill="1" applyBorder="1" applyAlignment="1" applyProtection="1">
      <protection hidden="1"/>
    </xf>
    <xf numFmtId="0" fontId="17" fillId="2" borderId="2" xfId="0" applyNumberFormat="1" applyFont="1" applyFill="1" applyBorder="1" applyAlignment="1">
      <alignment wrapText="1" readingOrder="1"/>
    </xf>
    <xf numFmtId="0" fontId="17" fillId="2" borderId="2" xfId="0" applyNumberFormat="1" applyFont="1" applyFill="1" applyBorder="1" applyAlignment="1">
      <alignment horizontal="center" wrapText="1" readingOrder="1"/>
    </xf>
    <xf numFmtId="0" fontId="17" fillId="2" borderId="2" xfId="0" applyNumberFormat="1" applyFont="1" applyFill="1" applyBorder="1" applyAlignment="1">
      <alignment horizontal="left" wrapText="1" readingOrder="1"/>
    </xf>
    <xf numFmtId="0" fontId="17" fillId="2" borderId="3" xfId="0" applyNumberFormat="1" applyFont="1" applyFill="1" applyBorder="1" applyAlignment="1">
      <alignment horizontal="center" wrapText="1" readingOrder="1"/>
    </xf>
    <xf numFmtId="0" fontId="15" fillId="7" borderId="2" xfId="0" applyNumberFormat="1" applyFont="1" applyFill="1" applyBorder="1" applyAlignment="1">
      <alignment vertical="top" wrapText="1" readingOrder="1"/>
    </xf>
    <xf numFmtId="0" fontId="15" fillId="7" borderId="2" xfId="0" applyNumberFormat="1" applyFont="1" applyFill="1" applyBorder="1" applyAlignment="1">
      <alignment horizontal="center" vertical="top" wrapText="1" readingOrder="1"/>
    </xf>
    <xf numFmtId="0" fontId="15" fillId="8" borderId="2" xfId="0" applyNumberFormat="1" applyFont="1" applyFill="1" applyBorder="1" applyAlignment="1">
      <alignment vertical="top" wrapText="1" readingOrder="1"/>
    </xf>
    <xf numFmtId="0" fontId="15" fillId="8" borderId="2" xfId="0" applyNumberFormat="1" applyFont="1" applyFill="1" applyBorder="1" applyAlignment="1">
      <alignment horizontal="center" vertical="top" wrapText="1" readingOrder="1"/>
    </xf>
    <xf numFmtId="14" fontId="15" fillId="7" borderId="2" xfId="0" applyNumberFormat="1" applyFont="1" applyFill="1" applyBorder="1" applyAlignment="1">
      <alignment horizontal="center" vertical="top" wrapText="1" readingOrder="1"/>
    </xf>
    <xf numFmtId="0" fontId="23" fillId="0" borderId="0" xfId="1" applyFont="1" applyProtection="1">
      <protection hidden="1"/>
    </xf>
    <xf numFmtId="14" fontId="3" fillId="0" borderId="1" xfId="1" applyNumberFormat="1" applyFont="1" applyFill="1" applyBorder="1"/>
    <xf numFmtId="165" fontId="3" fillId="0" borderId="0" xfId="1" applyNumberFormat="1" applyFont="1"/>
    <xf numFmtId="14" fontId="13" fillId="0" borderId="1" xfId="1" applyNumberFormat="1" applyBorder="1" applyProtection="1">
      <protection hidden="1"/>
    </xf>
    <xf numFmtId="0" fontId="14" fillId="6" borderId="1" xfId="1" applyFont="1" applyFill="1" applyBorder="1" applyProtection="1">
      <protection hidden="1"/>
    </xf>
    <xf numFmtId="0" fontId="6" fillId="0" borderId="0" xfId="1" applyFont="1" applyBorder="1" applyProtection="1">
      <protection hidden="1"/>
    </xf>
    <xf numFmtId="0" fontId="5" fillId="0" borderId="0" xfId="1" applyFont="1" applyBorder="1" applyProtection="1">
      <protection hidden="1"/>
    </xf>
    <xf numFmtId="0" fontId="6" fillId="0" borderId="0" xfId="1" applyFont="1" applyFill="1" applyBorder="1" applyProtection="1">
      <protection hidden="1"/>
    </xf>
    <xf numFmtId="174" fontId="6" fillId="0" borderId="0" xfId="1" applyNumberFormat="1" applyFont="1" applyBorder="1" applyProtection="1">
      <protection hidden="1"/>
    </xf>
    <xf numFmtId="174" fontId="13" fillId="0" borderId="0" xfId="1" applyNumberFormat="1" applyBorder="1" applyProtection="1">
      <protection hidden="1"/>
    </xf>
    <xf numFmtId="2" fontId="13" fillId="6" borderId="1" xfId="1" applyNumberFormat="1" applyFill="1" applyBorder="1" applyProtection="1">
      <protection hidden="1"/>
    </xf>
    <xf numFmtId="0" fontId="4" fillId="0" borderId="0" xfId="1" applyFont="1" applyFill="1"/>
    <xf numFmtId="0" fontId="3" fillId="0" borderId="0" xfId="1" applyFont="1" applyFill="1"/>
    <xf numFmtId="17" fontId="13" fillId="6" borderId="1" xfId="1" applyNumberFormat="1" applyFill="1" applyBorder="1" applyProtection="1">
      <protection hidden="1"/>
    </xf>
    <xf numFmtId="14" fontId="13" fillId="6" borderId="1" xfId="1" applyNumberFormat="1" applyFont="1" applyFill="1" applyBorder="1" applyProtection="1">
      <protection hidden="1"/>
    </xf>
    <xf numFmtId="3" fontId="11" fillId="6" borderId="1" xfId="1" applyNumberFormat="1" applyFont="1" applyFill="1" applyBorder="1" applyProtection="1">
      <protection hidden="1"/>
    </xf>
    <xf numFmtId="0" fontId="10" fillId="6" borderId="1" xfId="1" applyFont="1" applyFill="1" applyBorder="1" applyProtection="1">
      <protection hidden="1"/>
    </xf>
    <xf numFmtId="3" fontId="13" fillId="6" borderId="1" xfId="1" applyNumberFormat="1" applyFill="1" applyBorder="1" applyProtection="1">
      <protection hidden="1"/>
    </xf>
    <xf numFmtId="3" fontId="10" fillId="6" borderId="1" xfId="1" applyNumberFormat="1" applyFont="1" applyFill="1" applyBorder="1" applyProtection="1">
      <protection hidden="1"/>
    </xf>
    <xf numFmtId="2" fontId="10" fillId="6" borderId="1" xfId="1" applyNumberFormat="1" applyFont="1" applyFill="1" applyBorder="1" applyProtection="1">
      <protection hidden="1"/>
    </xf>
    <xf numFmtId="167" fontId="10" fillId="6" borderId="1" xfId="1" applyNumberFormat="1" applyFont="1" applyFill="1" applyBorder="1" applyAlignment="1" applyProtection="1">
      <alignment vertical="center"/>
      <protection hidden="1"/>
    </xf>
    <xf numFmtId="167" fontId="12" fillId="6" borderId="1" xfId="1" applyNumberFormat="1" applyFont="1" applyFill="1" applyBorder="1" applyAlignment="1" applyProtection="1">
      <alignment vertical="center"/>
      <protection hidden="1"/>
    </xf>
    <xf numFmtId="167" fontId="13" fillId="6" borderId="1" xfId="1" applyNumberFormat="1" applyFill="1" applyBorder="1" applyProtection="1">
      <protection hidden="1"/>
    </xf>
    <xf numFmtId="0" fontId="13" fillId="6" borderId="0" xfId="1" applyFill="1" applyProtection="1">
      <protection hidden="1"/>
    </xf>
    <xf numFmtId="0" fontId="4" fillId="0" borderId="0" xfId="1" applyFont="1" applyFill="1" applyProtection="1">
      <protection hidden="1"/>
    </xf>
    <xf numFmtId="3" fontId="13" fillId="5" borderId="1" xfId="1" applyNumberFormat="1" applyFill="1" applyBorder="1" applyProtection="1">
      <protection locked="0"/>
    </xf>
    <xf numFmtId="172" fontId="2" fillId="5" borderId="1" xfId="1" applyNumberFormat="1" applyFont="1" applyFill="1" applyBorder="1" applyProtection="1">
      <protection locked="0"/>
    </xf>
    <xf numFmtId="172" fontId="3" fillId="5" borderId="1" xfId="1" applyNumberFormat="1" applyFont="1" applyFill="1" applyBorder="1" applyProtection="1">
      <protection locked="0"/>
    </xf>
    <xf numFmtId="0" fontId="13" fillId="5" borderId="1" xfId="1" applyFill="1" applyBorder="1" applyProtection="1">
      <protection locked="0"/>
    </xf>
    <xf numFmtId="0" fontId="3" fillId="5" borderId="1" xfId="1" applyFont="1" applyFill="1" applyBorder="1" applyProtection="1">
      <protection locked="0"/>
    </xf>
    <xf numFmtId="172" fontId="7" fillId="5" borderId="1" xfId="1" applyNumberFormat="1" applyFont="1" applyFill="1" applyBorder="1" applyProtection="1">
      <protection locked="0"/>
    </xf>
    <xf numFmtId="0" fontId="19" fillId="0" borderId="9" xfId="0" applyFont="1" applyBorder="1" applyAlignment="1">
      <alignment horizontal="left" wrapText="1"/>
    </xf>
    <xf numFmtId="0" fontId="19" fillId="0" borderId="10" xfId="0" applyFont="1" applyBorder="1" applyAlignment="1">
      <alignment horizontal="left" wrapText="1"/>
    </xf>
    <xf numFmtId="0" fontId="19" fillId="0" borderId="11" xfId="0" applyFont="1" applyBorder="1" applyAlignment="1">
      <alignment horizontal="left" wrapText="1"/>
    </xf>
    <xf numFmtId="0" fontId="14" fillId="0" borderId="1" xfId="1" applyFont="1" applyBorder="1" applyAlignment="1">
      <alignment horizontal="center"/>
    </xf>
    <xf numFmtId="0" fontId="22" fillId="0" borderId="9" xfId="1" applyFont="1" applyFill="1" applyBorder="1" applyAlignment="1">
      <alignment horizontal="center"/>
    </xf>
    <xf numFmtId="0" fontId="22" fillId="0" borderId="10" xfId="1" applyFont="1" applyFill="1" applyBorder="1" applyAlignment="1">
      <alignment horizontal="center"/>
    </xf>
    <xf numFmtId="0" fontId="22" fillId="0" borderId="11" xfId="1" applyFont="1" applyFill="1" applyBorder="1" applyAlignment="1">
      <alignment horizontal="center"/>
    </xf>
    <xf numFmtId="0" fontId="14" fillId="4" borderId="0" xfId="1" applyFont="1" applyFill="1" applyAlignment="1">
      <alignment horizontal="center"/>
    </xf>
    <xf numFmtId="0" fontId="24" fillId="0" borderId="13" xfId="1" applyFont="1" applyBorder="1" applyAlignment="1">
      <alignment horizontal="center" vertical="center" wrapText="1"/>
    </xf>
    <xf numFmtId="0" fontId="24" fillId="0" borderId="14" xfId="1" applyFont="1" applyBorder="1" applyAlignment="1">
      <alignment horizontal="center" vertical="center" wrapText="1"/>
    </xf>
    <xf numFmtId="0" fontId="24" fillId="0" borderId="15"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0" xfId="1" applyFont="1" applyBorder="1" applyAlignment="1">
      <alignment horizontal="center" vertical="center" wrapText="1"/>
    </xf>
    <xf numFmtId="0" fontId="24" fillId="0" borderId="16" xfId="1" applyFont="1" applyBorder="1" applyAlignment="1">
      <alignment horizontal="center" vertical="center" wrapText="1"/>
    </xf>
    <xf numFmtId="0" fontId="24" fillId="0" borderId="17"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18" xfId="1" applyFont="1" applyBorder="1" applyAlignment="1">
      <alignment horizontal="center" vertical="center" wrapText="1"/>
    </xf>
    <xf numFmtId="0" fontId="13" fillId="0" borderId="13" xfId="1" applyFill="1" applyBorder="1" applyAlignment="1" applyProtection="1">
      <alignment horizontal="center" vertical="center"/>
      <protection hidden="1"/>
    </xf>
    <xf numFmtId="0" fontId="13" fillId="0" borderId="12" xfId="1" applyFill="1" applyBorder="1" applyAlignment="1" applyProtection="1">
      <alignment horizontal="center" vertical="center"/>
      <protection hidden="1"/>
    </xf>
    <xf numFmtId="0" fontId="13" fillId="6" borderId="14" xfId="1" applyFill="1" applyBorder="1" applyAlignment="1" applyProtection="1">
      <alignment horizontal="center" vertical="center"/>
      <protection hidden="1"/>
    </xf>
    <xf numFmtId="0" fontId="13" fillId="6" borderId="0" xfId="1" applyFill="1" applyBorder="1" applyAlignment="1" applyProtection="1">
      <alignment horizontal="center" vertical="center"/>
      <protection hidden="1"/>
    </xf>
    <xf numFmtId="3" fontId="10" fillId="0" borderId="13" xfId="1" applyNumberFormat="1" applyFont="1" applyFill="1" applyBorder="1" applyAlignment="1" applyProtection="1">
      <alignment horizontal="center" vertical="center"/>
      <protection hidden="1"/>
    </xf>
    <xf numFmtId="3" fontId="10" fillId="0" borderId="12" xfId="1" applyNumberFormat="1" applyFont="1" applyFill="1" applyBorder="1" applyAlignment="1" applyProtection="1">
      <alignment horizontal="center" vertical="center"/>
      <protection hidden="1"/>
    </xf>
    <xf numFmtId="0" fontId="14" fillId="0" borderId="1" xfId="1" applyFont="1" applyBorder="1" applyAlignment="1" applyProtection="1">
      <alignment horizontal="center"/>
      <protection hidden="1"/>
    </xf>
    <xf numFmtId="0" fontId="14" fillId="0" borderId="6" xfId="1" applyFont="1" applyFill="1" applyBorder="1" applyAlignment="1" applyProtection="1">
      <alignment horizontal="center"/>
      <protection hidden="1"/>
    </xf>
    <xf numFmtId="0" fontId="14" fillId="0" borderId="5" xfId="1" applyFont="1" applyFill="1" applyBorder="1" applyAlignment="1" applyProtection="1">
      <alignment horizontal="center"/>
      <protection hidden="1"/>
    </xf>
    <xf numFmtId="0" fontId="14" fillId="0" borderId="4" xfId="1" applyFont="1" applyFill="1" applyBorder="1" applyAlignment="1" applyProtection="1">
      <alignment horizontal="center"/>
      <protection hidden="1"/>
    </xf>
    <xf numFmtId="0" fontId="13" fillId="0" borderId="0" xfId="1" applyAlignment="1" applyProtection="1">
      <alignment horizontal="center"/>
      <protection hidden="1"/>
    </xf>
    <xf numFmtId="0" fontId="14" fillId="0" borderId="8" xfId="1" applyFont="1" applyFill="1" applyBorder="1" applyAlignment="1" applyProtection="1">
      <alignment horizontal="center"/>
      <protection hidden="1"/>
    </xf>
    <xf numFmtId="0" fontId="14" fillId="0" borderId="1" xfId="1" applyFont="1" applyFill="1" applyBorder="1" applyAlignment="1" applyProtection="1">
      <alignment horizontal="center"/>
      <protection hidden="1"/>
    </xf>
    <xf numFmtId="0" fontId="13" fillId="0" borderId="14" xfId="1" applyBorder="1" applyAlignment="1" applyProtection="1">
      <alignment horizontal="center" vertical="center"/>
      <protection hidden="1"/>
    </xf>
    <xf numFmtId="0" fontId="13" fillId="0" borderId="0" xfId="1" applyBorder="1" applyAlignment="1" applyProtection="1">
      <alignment horizontal="center" vertical="center"/>
      <protection hidden="1"/>
    </xf>
    <xf numFmtId="0" fontId="13" fillId="0" borderId="1" xfId="1" applyBorder="1" applyAlignment="1" applyProtection="1">
      <alignment horizontal="center"/>
      <protection hidden="1"/>
    </xf>
    <xf numFmtId="170" fontId="13" fillId="6" borderId="1" xfId="1" applyNumberFormat="1" applyFill="1" applyBorder="1" applyAlignment="1" applyProtection="1">
      <alignment horizontal="center"/>
      <protection hidden="1"/>
    </xf>
    <xf numFmtId="0" fontId="14" fillId="0" borderId="6" xfId="1" applyFont="1" applyBorder="1" applyAlignment="1" applyProtection="1">
      <alignment horizontal="center"/>
      <protection hidden="1"/>
    </xf>
    <xf numFmtId="0" fontId="14" fillId="0" borderId="4" xfId="1" applyFont="1" applyBorder="1" applyAlignment="1" applyProtection="1">
      <alignment horizontal="center"/>
      <protection hidden="1"/>
    </xf>
    <xf numFmtId="0" fontId="4" fillId="6" borderId="12" xfId="1" applyFont="1" applyFill="1" applyBorder="1" applyAlignment="1" applyProtection="1">
      <alignment horizontal="center" vertical="center" wrapText="1"/>
      <protection hidden="1"/>
    </xf>
    <xf numFmtId="0" fontId="13" fillId="6" borderId="12" xfId="1" applyFill="1" applyBorder="1" applyAlignment="1" applyProtection="1">
      <alignment horizontal="center" vertical="center" wrapText="1"/>
      <protection hidden="1"/>
    </xf>
    <xf numFmtId="172" fontId="1" fillId="5" borderId="1" xfId="1" applyNumberFormat="1" applyFont="1" applyFill="1" applyBorder="1" applyProtection="1">
      <protection locked="0"/>
    </xf>
  </cellXfs>
  <cellStyles count="4">
    <cellStyle name="Currency 2" xfId="2" xr:uid="{00000000-0005-0000-0000-000000000000}"/>
    <cellStyle name="Normal" xfId="0" builtinId="0"/>
    <cellStyle name="Normal 2" xfId="1" xr:uid="{00000000-0005-0000-0000-000002000000}"/>
    <cellStyle name="Percent 2" xfId="3" xr:uid="{00000000-0005-0000-0000-000003000000}"/>
  </cellStyles>
  <dxfs count="0"/>
  <tableStyles count="0" defaultTableStyle="TableStyleMedium9" defaultPivotStyle="PivotStyleLight16"/>
  <colors>
    <mruColors>
      <color rgb="FFD2CCC6"/>
      <color rgb="FFF7F7A3"/>
      <color rgb="FFEEECAC"/>
      <color rgb="FFE8E8B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'Calculations End Users'!$B$18</c:f>
          <c:strCache>
            <c:ptCount val="1"/>
            <c:pt idx="0">
              <c:v>Subscribing 1.500.000 kWh/h from 01 January 2020 to 30 June 2020 on 3B FIBREGLASS SPRL BATTICE (H-Zone) will cost a total of € 2.015.568</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456133038126122E-2"/>
          <c:y val="0.16289694954400474"/>
          <c:w val="0.86439281325617523"/>
          <c:h val="0.80038290202996787"/>
        </c:manualLayout>
      </c:layout>
      <c:barChart>
        <c:barDir val="col"/>
        <c:grouping val="clustered"/>
        <c:varyColors val="0"/>
        <c:ser>
          <c:idx val="0"/>
          <c:order val="0"/>
          <c:tx>
            <c:strRef>
              <c:f>'Calculations End Users'!$A$4</c:f>
              <c:strCache>
                <c:ptCount val="1"/>
                <c:pt idx="0">
                  <c:v>High Pressure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 End Users'!$G$25</c:f>
              <c:numCache>
                <c:formatCode>General</c:formatCode>
                <c:ptCount val="1"/>
              </c:numCache>
            </c:numRef>
          </c:cat>
          <c:val>
            <c:numRef>
              <c:f>'Calculations End Users'!$B$4</c:f>
              <c:numCache>
                <c:formatCode>_([$€-2]\ * #,##0.00_);_([$€-2]\ * \(#,##0.00\);_([$€-2]\ * "-"??_);_(@_)</c:formatCode>
                <c:ptCount val="1"/>
                <c:pt idx="0">
                  <c:v>1268657.8356164386</c:v>
                </c:pt>
              </c:numCache>
            </c:numRef>
          </c:val>
          <c:extLst>
            <c:ext xmlns:c16="http://schemas.microsoft.com/office/drawing/2014/chart" uri="{C3380CC4-5D6E-409C-BE32-E72D297353CC}">
              <c16:uniqueId val="{00000000-7556-44A5-858B-8B0DBE23FD8B}"/>
            </c:ext>
          </c:extLst>
        </c:ser>
        <c:ser>
          <c:idx val="3"/>
          <c:order val="1"/>
          <c:tx>
            <c:strRef>
              <c:f>'Calculations End Users'!$A$5</c:f>
              <c:strCache>
                <c:ptCount val="1"/>
                <c:pt idx="0">
                  <c:v>Reduced Pressure Service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'Calculations End Users'!$B$5</c:f>
              <c:numCache>
                <c:formatCode>_([$€-2]\ * #,##0.00_);_([$€-2]\ * \(#,##0.00\);_([$€-2]\ * "-"??_);_(@_)</c:formatCode>
                <c:ptCount val="1"/>
                <c:pt idx="0">
                  <c:v>746910.19520547939</c:v>
                </c:pt>
              </c:numCache>
            </c:numRef>
          </c:val>
          <c:extLst>
            <c:ext xmlns:c16="http://schemas.microsoft.com/office/drawing/2014/chart" uri="{C3380CC4-5D6E-409C-BE32-E72D297353CC}">
              <c16:uniqueId val="{00000000-CC18-4BBF-BDCD-974916368AA2}"/>
            </c:ext>
          </c:extLst>
        </c:ser>
        <c:ser>
          <c:idx val="2"/>
          <c:order val="2"/>
          <c:tx>
            <c:strRef>
              <c:f>'Calculations End Users'!$A$6</c:f>
              <c:strCache>
                <c:ptCount val="1"/>
                <c:pt idx="0">
                  <c:v>Energy in Cash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 End Users'!$G$25</c:f>
              <c:numCache>
                <c:formatCode>General</c:formatCode>
                <c:ptCount val="1"/>
              </c:numCache>
            </c:numRef>
          </c:cat>
          <c:val>
            <c:numRef>
              <c:f>'Calculations End Users'!$B$6</c:f>
              <c:numCache>
                <c:formatCode>_([$€-2]\ * #,##0.00_);_([$€-2]\ * \(#,##0.00\);_([$€-2]\ * "-"??_);_(@_)</c:formatCode>
                <c:ptCount val="1"/>
                <c:pt idx="0">
                  <c:v>0</c:v>
                </c:pt>
              </c:numCache>
            </c:numRef>
          </c:val>
          <c:extLst>
            <c:ext xmlns:c16="http://schemas.microsoft.com/office/drawing/2014/chart" uri="{C3380CC4-5D6E-409C-BE32-E72D297353CC}">
              <c16:uniqueId val="{00000004-7556-44A5-858B-8B0DBE23FD8B}"/>
            </c:ext>
          </c:extLst>
        </c:ser>
        <c:ser>
          <c:idx val="1"/>
          <c:order val="3"/>
          <c:tx>
            <c:strRef>
              <c:f>'Calculations End Users'!$A$7</c:f>
              <c:strCache>
                <c:ptCount val="1"/>
                <c:pt idx="0">
                  <c:v>Odorisation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 End Users'!$G$25</c:f>
              <c:numCache>
                <c:formatCode>General</c:formatCode>
                <c:ptCount val="1"/>
              </c:numCache>
            </c:numRef>
          </c:cat>
          <c:val>
            <c:numRef>
              <c:f>'Calculations End Users'!$B$7</c:f>
              <c:numCache>
                <c:formatCode>_([$€-2]\ * #,##0.00_);_([$€-2]\ * \(#,##0.00\);_([$€-2]\ * "-"??_);_(@_)</c:formatCode>
                <c:ptCount val="1"/>
                <c:pt idx="0">
                  <c:v>0</c:v>
                </c:pt>
              </c:numCache>
            </c:numRef>
          </c:val>
          <c:extLst>
            <c:ext xmlns:c16="http://schemas.microsoft.com/office/drawing/2014/chart" uri="{C3380CC4-5D6E-409C-BE32-E72D297353CC}">
              <c16:uniqueId val="{00000003-7556-44A5-858B-8B0DBE23FD8B}"/>
            </c:ext>
          </c:extLst>
        </c:ser>
        <c:dLbls>
          <c:dLblPos val="outEnd"/>
          <c:showLegendKey val="0"/>
          <c:showVal val="1"/>
          <c:showCatName val="0"/>
          <c:showSerName val="0"/>
          <c:showPercent val="0"/>
          <c:showBubbleSize val="0"/>
        </c:dLbls>
        <c:gapWidth val="150"/>
        <c:axId val="519700232"/>
        <c:axId val="519697280"/>
      </c:barChart>
      <c:catAx>
        <c:axId val="51970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697280"/>
        <c:crosses val="autoZero"/>
        <c:auto val="1"/>
        <c:lblAlgn val="ctr"/>
        <c:lblOffset val="100"/>
        <c:noMultiLvlLbl val="0"/>
      </c:catAx>
      <c:valAx>
        <c:axId val="519697280"/>
        <c:scaling>
          <c:orientation val="minMax"/>
        </c:scaling>
        <c:delete val="0"/>
        <c:axPos val="l"/>
        <c:majorGridlines>
          <c:spPr>
            <a:ln w="9525" cap="flat" cmpd="sng" algn="ctr">
              <a:solidFill>
                <a:schemeClr val="tx1">
                  <a:lumMod val="15000"/>
                  <a:lumOff val="85000"/>
                </a:schemeClr>
              </a:solidFill>
              <a:round/>
            </a:ln>
            <a:effectLst/>
          </c:spPr>
        </c:majorGridlines>
        <c:numFmt formatCode="_([$€-2]\ * #,##0.00_);_([$€-2]\ * \(#,##0.00\);_([$€-2]\ *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19700232"/>
        <c:crosses val="autoZero"/>
        <c:crossBetween val="between"/>
      </c:valAx>
      <c:spPr>
        <a:noFill/>
        <a:ln>
          <a:noFill/>
        </a:ln>
        <a:effectLst/>
      </c:spPr>
    </c:plotArea>
    <c:legend>
      <c:legendPos val="r"/>
      <c:layout>
        <c:manualLayout>
          <c:xMode val="edge"/>
          <c:yMode val="edge"/>
          <c:x val="0.75356841643705108"/>
          <c:y val="9.6979515191201252E-2"/>
          <c:w val="0.22289938233845258"/>
          <c:h val="0.3557745551255582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'Calculations Distribution'!$B$16</c:f>
          <c:strCache>
            <c:ptCount val="1"/>
            <c:pt idx="0">
              <c:v>Being allocated 1.500.000 kWh/h from 31 March 2020 to 31 July 2020 on a Low-calorific gas Distribution Domestic Exit Point will cost a total of € 934.126</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893853165911219E-2"/>
          <c:y val="0.16506456504326286"/>
          <c:w val="0.87539040421046455"/>
          <c:h val="0.79772666373521772"/>
        </c:manualLayout>
      </c:layout>
      <c:barChart>
        <c:barDir val="col"/>
        <c:grouping val="clustered"/>
        <c:varyColors val="0"/>
        <c:ser>
          <c:idx val="0"/>
          <c:order val="0"/>
          <c:tx>
            <c:strRef>
              <c:f>'Calculations Distribution'!$A$4</c:f>
              <c:strCache>
                <c:ptCount val="1"/>
                <c:pt idx="0">
                  <c:v>High Pressure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 End Users'!$G$25</c:f>
              <c:numCache>
                <c:formatCode>General</c:formatCode>
                <c:ptCount val="1"/>
              </c:numCache>
            </c:numRef>
          </c:cat>
          <c:val>
            <c:numRef>
              <c:f>'Calculations Distribution'!$B$4</c:f>
              <c:numCache>
                <c:formatCode>_([$€-2]\ * #,##0.00_);_([$€-2]\ * \(#,##0.00\);_([$€-2]\ * "-"??_);_(@_)</c:formatCode>
                <c:ptCount val="1"/>
                <c:pt idx="0">
                  <c:v>587872.60273972608</c:v>
                </c:pt>
              </c:numCache>
            </c:numRef>
          </c:val>
          <c:extLst>
            <c:ext xmlns:c16="http://schemas.microsoft.com/office/drawing/2014/chart" uri="{C3380CC4-5D6E-409C-BE32-E72D297353CC}">
              <c16:uniqueId val="{00000000-BB07-4408-B6D1-81A2A1D23C81}"/>
            </c:ext>
          </c:extLst>
        </c:ser>
        <c:ser>
          <c:idx val="3"/>
          <c:order val="1"/>
          <c:tx>
            <c:strRef>
              <c:f>'Calculations End Users'!$A$5</c:f>
              <c:strCache>
                <c:ptCount val="1"/>
                <c:pt idx="0">
                  <c:v>Reduced Pressure Service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'Calculations Distribution'!$B$5</c:f>
              <c:numCache>
                <c:formatCode>_([$€-2]\ * #,##0.00_);_([$€-2]\ * \(#,##0.00\);_([$€-2]\ * "-"??_);_(@_)</c:formatCode>
                <c:ptCount val="1"/>
                <c:pt idx="0">
                  <c:v>346253.42465753428</c:v>
                </c:pt>
              </c:numCache>
            </c:numRef>
          </c:val>
          <c:extLst>
            <c:ext xmlns:c16="http://schemas.microsoft.com/office/drawing/2014/chart" uri="{C3380CC4-5D6E-409C-BE32-E72D297353CC}">
              <c16:uniqueId val="{00000001-BB07-4408-B6D1-81A2A1D23C81}"/>
            </c:ext>
          </c:extLst>
        </c:ser>
        <c:ser>
          <c:idx val="2"/>
          <c:order val="2"/>
          <c:tx>
            <c:strRef>
              <c:f>'Calculations Distribution'!$A$6</c:f>
              <c:strCache>
                <c:ptCount val="1"/>
                <c:pt idx="0">
                  <c:v>Energy in Cash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 End Users'!$G$25</c:f>
              <c:numCache>
                <c:formatCode>General</c:formatCode>
                <c:ptCount val="1"/>
              </c:numCache>
            </c:numRef>
          </c:cat>
          <c:val>
            <c:numRef>
              <c:f>'Calculations Distribution'!$B$6</c:f>
              <c:numCache>
                <c:formatCode>_([$€-2]\ * #,##0.00_);_([$€-2]\ * \(#,##0.00\);_([$€-2]\ * "-"??_);_(@_)</c:formatCode>
                <c:ptCount val="1"/>
                <c:pt idx="0">
                  <c:v>0</c:v>
                </c:pt>
              </c:numCache>
            </c:numRef>
          </c:val>
          <c:extLst>
            <c:ext xmlns:c16="http://schemas.microsoft.com/office/drawing/2014/chart" uri="{C3380CC4-5D6E-409C-BE32-E72D297353CC}">
              <c16:uniqueId val="{00000002-BB07-4408-B6D1-81A2A1D23C81}"/>
            </c:ext>
          </c:extLst>
        </c:ser>
        <c:dLbls>
          <c:dLblPos val="outEnd"/>
          <c:showLegendKey val="0"/>
          <c:showVal val="1"/>
          <c:showCatName val="0"/>
          <c:showSerName val="0"/>
          <c:showPercent val="0"/>
          <c:showBubbleSize val="0"/>
        </c:dLbls>
        <c:gapWidth val="150"/>
        <c:axId val="519700232"/>
        <c:axId val="519697280"/>
      </c:barChart>
      <c:catAx>
        <c:axId val="51970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697280"/>
        <c:crosses val="autoZero"/>
        <c:auto val="1"/>
        <c:lblAlgn val="ctr"/>
        <c:lblOffset val="100"/>
        <c:noMultiLvlLbl val="0"/>
      </c:catAx>
      <c:valAx>
        <c:axId val="519697280"/>
        <c:scaling>
          <c:orientation val="minMax"/>
        </c:scaling>
        <c:delete val="0"/>
        <c:axPos val="l"/>
        <c:majorGridlines>
          <c:spPr>
            <a:ln w="9525" cap="flat" cmpd="sng" algn="ctr">
              <a:solidFill>
                <a:schemeClr val="tx1">
                  <a:lumMod val="15000"/>
                  <a:lumOff val="85000"/>
                </a:schemeClr>
              </a:solidFill>
              <a:round/>
            </a:ln>
            <a:effectLst/>
          </c:spPr>
        </c:majorGridlines>
        <c:numFmt formatCode="_([$€-2]\ * #,##0.00_);_([$€-2]\ * \(#,##0.00\);_([$€-2]\ *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19700232"/>
        <c:crosses val="autoZero"/>
        <c:crossBetween val="between"/>
      </c:valAx>
      <c:spPr>
        <a:noFill/>
        <a:ln>
          <a:noFill/>
        </a:ln>
        <a:effectLst/>
      </c:spPr>
    </c:plotArea>
    <c:legend>
      <c:legendPos val="r"/>
      <c:layout>
        <c:manualLayout>
          <c:xMode val="edge"/>
          <c:yMode val="edge"/>
          <c:x val="0.7565556925141308"/>
          <c:y val="0.14989779510419235"/>
          <c:w val="0.22877846986058756"/>
          <c:h val="0.260123874108900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ustomXml" Target="../ink/ink1.xml"/><Relationship Id="rId1" Type="http://schemas.openxmlformats.org/officeDocument/2006/relationships/chart" Target="../charts/chart1.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101412</xdr:colOff>
      <xdr:row>23</xdr:row>
      <xdr:rowOff>45384</xdr:rowOff>
    </xdr:from>
    <xdr:to>
      <xdr:col>9</xdr:col>
      <xdr:colOff>171450</xdr:colOff>
      <xdr:row>45</xdr:row>
      <xdr:rowOff>78441</xdr:rowOff>
    </xdr:to>
    <xdr:graphicFrame macro="">
      <xdr:nvGraphicFramePr>
        <xdr:cNvPr id="2" name="Chart 1">
          <a:extLst>
            <a:ext uri="{FF2B5EF4-FFF2-40B4-BE49-F238E27FC236}">
              <a16:creationId xmlns:a16="http://schemas.microsoft.com/office/drawing/2014/main" id="{23E4547C-21CC-41A5-B16D-2F7C1B2DF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1086801</xdr:colOff>
      <xdr:row>11</xdr:row>
      <xdr:rowOff>3420</xdr:rowOff>
    </xdr:from>
    <xdr:to>
      <xdr:col>8</xdr:col>
      <xdr:colOff>1087161</xdr:colOff>
      <xdr:row>11</xdr:row>
      <xdr:rowOff>3780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4" name="Ink 3">
              <a:extLst>
                <a:ext uri="{FF2B5EF4-FFF2-40B4-BE49-F238E27FC236}">
                  <a16:creationId xmlns:a16="http://schemas.microsoft.com/office/drawing/2014/main" id="{273F9F1D-25FB-4272-92A4-06873A984B03}"/>
                </a:ext>
              </a:extLst>
            </xdr14:cNvPr>
            <xdr14:cNvContentPartPr/>
          </xdr14:nvContentPartPr>
          <xdr14:nvPr macro=""/>
          <xdr14:xfrm>
            <a:off x="11295360" y="1717920"/>
            <a:ext cx="360" cy="360"/>
          </xdr14:xfrm>
        </xdr:contentPart>
      </mc:Choice>
      <mc:Fallback xmlns="">
        <xdr:pic>
          <xdr:nvPicPr>
            <xdr:cNvPr id="4" name="Ink 3">
              <a:extLst>
                <a:ext uri="{FF2B5EF4-FFF2-40B4-BE49-F238E27FC236}">
                  <a16:creationId xmlns:a16="http://schemas.microsoft.com/office/drawing/2014/main" id="{273F9F1D-25FB-4272-92A4-06873A984B03}"/>
                </a:ext>
              </a:extLst>
            </xdr:cNvPr>
            <xdr:cNvPicPr/>
          </xdr:nvPicPr>
          <xdr:blipFill>
            <a:blip xmlns:r="http://schemas.openxmlformats.org/officeDocument/2006/relationships" r:embed="rId3"/>
            <a:stretch>
              <a:fillRect/>
            </a:stretch>
          </xdr:blipFill>
          <xdr:spPr>
            <a:xfrm>
              <a:off x="11286360" y="1708920"/>
              <a:ext cx="18000" cy="18000"/>
            </a:xfrm>
            <a:prstGeom prst="rect">
              <a:avLst/>
            </a:prstGeom>
          </xdr:spPr>
        </xdr:pic>
      </mc:Fallback>
    </mc:AlternateContent>
    <xdr:clientData/>
  </xdr:twoCellAnchor>
  <xdr:twoCellAnchor>
    <xdr:from>
      <xdr:col>4</xdr:col>
      <xdr:colOff>481854</xdr:colOff>
      <xdr:row>3</xdr:row>
      <xdr:rowOff>134469</xdr:rowOff>
    </xdr:from>
    <xdr:to>
      <xdr:col>4</xdr:col>
      <xdr:colOff>493059</xdr:colOff>
      <xdr:row>50</xdr:row>
      <xdr:rowOff>168087</xdr:rowOff>
    </xdr:to>
    <xdr:cxnSp macro="">
      <xdr:nvCxnSpPr>
        <xdr:cNvPr id="5" name="Straight Connector 4">
          <a:extLst>
            <a:ext uri="{FF2B5EF4-FFF2-40B4-BE49-F238E27FC236}">
              <a16:creationId xmlns:a16="http://schemas.microsoft.com/office/drawing/2014/main" id="{E62A3834-F59E-432D-94BB-DDD94E51256B}"/>
            </a:ext>
          </a:extLst>
        </xdr:cNvPr>
        <xdr:cNvCxnSpPr/>
      </xdr:nvCxnSpPr>
      <xdr:spPr>
        <a:xfrm>
          <a:off x="8550089" y="2263587"/>
          <a:ext cx="11205" cy="9065559"/>
        </a:xfrm>
        <a:prstGeom prst="line">
          <a:avLst/>
        </a:prstGeom>
        <a:ln>
          <a:solidFill>
            <a:schemeClr val="dk1"/>
          </a:solidFill>
          <a:prstDash val="dash"/>
          <a:headEnd type="none" w="med" len="med"/>
          <a:tailEnd type="none" w="med" len="med"/>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44824</xdr:colOff>
      <xdr:row>23</xdr:row>
      <xdr:rowOff>67236</xdr:rowOff>
    </xdr:from>
    <xdr:to>
      <xdr:col>4</xdr:col>
      <xdr:colOff>268942</xdr:colOff>
      <xdr:row>45</xdr:row>
      <xdr:rowOff>145676</xdr:rowOff>
    </xdr:to>
    <xdr:graphicFrame macro="">
      <xdr:nvGraphicFramePr>
        <xdr:cNvPr id="7" name="Chart 6">
          <a:extLst>
            <a:ext uri="{FF2B5EF4-FFF2-40B4-BE49-F238E27FC236}">
              <a16:creationId xmlns:a16="http://schemas.microsoft.com/office/drawing/2014/main" id="{BEE49857-7111-4E3D-A084-291B901B4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20FLUXYS%20Belgium/050%20End%20Users/D001%20-%20COEFFICIENTS%20PUBLISHED%20ON%20WEBSITE/2019.04.18%20-%20Fluxys_Coefficients_IndustrialClients_PowerPla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efficients"/>
    </sheetNames>
    <sheetDataSet>
      <sheetData sheetId="0" refreshError="1"/>
      <sheetData sheetId="1" refreshError="1">
        <row r="5">
          <cell r="A5" t="str">
            <v>3B-FIBREGLASS SPRL BATTICE</v>
          </cell>
          <cell r="B5" t="str">
            <v>81521-N01</v>
          </cell>
          <cell r="C5" t="str">
            <v>81521</v>
          </cell>
          <cell r="D5" t="str">
            <v>Industrial Client</v>
          </cell>
          <cell r="E5" t="str">
            <v>Route de Maestricht</v>
          </cell>
          <cell r="F5" t="str">
            <v>z/n</v>
          </cell>
          <cell r="G5">
            <v>4651</v>
          </cell>
          <cell r="H5" t="str">
            <v>BATTICE</v>
          </cell>
          <cell r="I5" t="str">
            <v>3B-FIBREGLASS SPRL BATTICE</v>
          </cell>
          <cell r="J5" t="str">
            <v>004776</v>
          </cell>
          <cell r="K5" t="str">
            <v>End User Domestic Exit Point IC</v>
          </cell>
          <cell r="L5" t="str">
            <v>H-Zone</v>
          </cell>
          <cell r="M5">
            <v>1</v>
          </cell>
          <cell r="N5">
            <v>1</v>
          </cell>
          <cell r="O5">
            <v>0</v>
          </cell>
          <cell r="Q5">
            <v>0</v>
          </cell>
          <cell r="S5" t="str">
            <v>22ZFL004776----M</v>
          </cell>
        </row>
        <row r="6">
          <cell r="A6" t="str">
            <v>3M BELGIUM ZWIJNDRECHT</v>
          </cell>
          <cell r="B6" t="str">
            <v>21313-N01</v>
          </cell>
          <cell r="C6" t="str">
            <v>21313</v>
          </cell>
          <cell r="D6" t="str">
            <v>Industrial Client</v>
          </cell>
          <cell r="E6" t="str">
            <v>Haven 1005 - Canadastraat</v>
          </cell>
          <cell r="F6">
            <v>11</v>
          </cell>
          <cell r="G6">
            <v>2070</v>
          </cell>
          <cell r="H6" t="str">
            <v>ZWIJNDRECHT</v>
          </cell>
          <cell r="I6" t="str">
            <v>3M BELGIUM ZWIJNDRECHT</v>
          </cell>
          <cell r="J6" t="str">
            <v>004714</v>
          </cell>
          <cell r="K6" t="str">
            <v>End User Domestic Exit Point IC</v>
          </cell>
          <cell r="L6" t="str">
            <v>H-Zone</v>
          </cell>
          <cell r="M6">
            <v>1</v>
          </cell>
          <cell r="N6">
            <v>0</v>
          </cell>
          <cell r="O6">
            <v>0</v>
          </cell>
          <cell r="Q6">
            <v>0</v>
          </cell>
          <cell r="S6" t="str">
            <v>22ZFL004714----2</v>
          </cell>
        </row>
        <row r="7">
          <cell r="A7" t="str">
            <v>ADC BEVEREN</v>
          </cell>
          <cell r="B7" t="str">
            <v>21465-N01</v>
          </cell>
          <cell r="C7" t="str">
            <v>21465</v>
          </cell>
          <cell r="D7" t="str">
            <v>Industrial Client</v>
          </cell>
          <cell r="E7" t="str">
            <v>Haven 1931 - Geslecht</v>
          </cell>
          <cell r="F7" t="str">
            <v>z/n</v>
          </cell>
          <cell r="G7">
            <v>9130</v>
          </cell>
          <cell r="H7" t="str">
            <v>BEVEREN</v>
          </cell>
          <cell r="I7" t="str">
            <v>ADC BEVEREN</v>
          </cell>
          <cell r="J7" t="str">
            <v>007324</v>
          </cell>
          <cell r="K7" t="str">
            <v>End User Domestic Exit Point IC</v>
          </cell>
          <cell r="L7" t="str">
            <v>H-Zone</v>
          </cell>
          <cell r="M7">
            <v>1</v>
          </cell>
          <cell r="N7">
            <v>0</v>
          </cell>
          <cell r="O7">
            <v>0</v>
          </cell>
          <cell r="Q7">
            <v>0</v>
          </cell>
          <cell r="S7" t="str">
            <v>57ZFL007324----P</v>
          </cell>
        </row>
        <row r="8">
          <cell r="A8" t="str">
            <v>ADPO NV BEVEREN</v>
          </cell>
          <cell r="B8" t="str">
            <v>42931-N01</v>
          </cell>
          <cell r="C8" t="str">
            <v>42931</v>
          </cell>
          <cell r="D8" t="str">
            <v>Industrial Client</v>
          </cell>
          <cell r="E8" t="str">
            <v xml:space="preserve">Haven 1111 – Steenlandlaan </v>
          </cell>
          <cell r="F8">
            <v>3</v>
          </cell>
          <cell r="G8">
            <v>9130</v>
          </cell>
          <cell r="H8" t="str">
            <v>BEVEREN</v>
          </cell>
          <cell r="I8" t="str">
            <v>ADPO NV BEVEREN</v>
          </cell>
          <cell r="J8" t="str">
            <v>007157</v>
          </cell>
          <cell r="K8" t="str">
            <v>End User Domestic Exit Point IC</v>
          </cell>
          <cell r="L8" t="str">
            <v>H-Zone</v>
          </cell>
          <cell r="M8">
            <v>1</v>
          </cell>
          <cell r="N8">
            <v>0</v>
          </cell>
          <cell r="O8">
            <v>0</v>
          </cell>
          <cell r="Q8">
            <v>0</v>
          </cell>
          <cell r="S8" t="str">
            <v>22ZFL007157----E</v>
          </cell>
        </row>
        <row r="9">
          <cell r="A9" t="str">
            <v>AGC AUTOMOTIVE BELGIUM FLEURus</v>
          </cell>
          <cell r="B9" t="str">
            <v>52215-N01</v>
          </cell>
          <cell r="C9" t="str">
            <v>52215</v>
          </cell>
          <cell r="D9" t="str">
            <v>Industrial Client</v>
          </cell>
          <cell r="E9" t="str">
            <v>Avenue du Marquis (Zoning Industriel)</v>
          </cell>
          <cell r="F9">
            <v>1</v>
          </cell>
          <cell r="G9">
            <v>6220</v>
          </cell>
          <cell r="H9" t="str">
            <v>FLEURUS</v>
          </cell>
          <cell r="I9" t="str">
            <v>AGC AUTOMOTIVE BELGIUM FLEURUS</v>
          </cell>
          <cell r="J9" t="str">
            <v>004753</v>
          </cell>
          <cell r="K9" t="str">
            <v>End User Domestic Exit Point IC</v>
          </cell>
          <cell r="L9" t="str">
            <v>H-Zone</v>
          </cell>
          <cell r="M9">
            <v>1</v>
          </cell>
          <cell r="N9">
            <v>1</v>
          </cell>
          <cell r="O9">
            <v>0</v>
          </cell>
          <cell r="Q9">
            <v>0</v>
          </cell>
          <cell r="S9" t="str">
            <v>22ZFL004753----H</v>
          </cell>
        </row>
        <row r="10">
          <cell r="A10" t="str">
            <v>AGC FLAT GLASS COATING SA - LODELINSART</v>
          </cell>
          <cell r="B10" t="str">
            <v>54251-N01</v>
          </cell>
          <cell r="C10" t="str">
            <v>54251</v>
          </cell>
          <cell r="D10" t="str">
            <v>Industrial Client</v>
          </cell>
          <cell r="E10" t="str">
            <v>Rue Pige au Croly</v>
          </cell>
          <cell r="F10">
            <v>157</v>
          </cell>
          <cell r="G10">
            <v>6000</v>
          </cell>
          <cell r="H10" t="str">
            <v>CHARLEROI</v>
          </cell>
          <cell r="I10" t="str">
            <v>AGC FLAT GLASS COATING SA - LODELINSART</v>
          </cell>
          <cell r="J10" t="str">
            <v>542510</v>
          </cell>
          <cell r="K10" t="str">
            <v>End User Domestic Exit Point IC</v>
          </cell>
          <cell r="L10" t="str">
            <v>H-Zone</v>
          </cell>
          <cell r="M10">
            <v>1</v>
          </cell>
          <cell r="N10">
            <v>1</v>
          </cell>
          <cell r="O10">
            <v>0</v>
          </cell>
          <cell r="Q10">
            <v>1</v>
          </cell>
          <cell r="S10" t="str">
            <v>22ZFL542510----2</v>
          </cell>
        </row>
        <row r="11">
          <cell r="A11" t="str">
            <v>AGC FLAT GLASS MOL</v>
          </cell>
          <cell r="B11" t="str">
            <v>11431-N01</v>
          </cell>
          <cell r="C11" t="str">
            <v>11431</v>
          </cell>
          <cell r="D11" t="str">
            <v>Industrial Client</v>
          </cell>
          <cell r="E11" t="str">
            <v>Venetiëlaan</v>
          </cell>
          <cell r="F11" t="str">
            <v>z/n</v>
          </cell>
          <cell r="G11">
            <v>2400</v>
          </cell>
          <cell r="H11" t="str">
            <v>MOL</v>
          </cell>
          <cell r="I11" t="str">
            <v>AGC FLAT GLASS MOL</v>
          </cell>
          <cell r="J11" t="str">
            <v>114310</v>
          </cell>
          <cell r="K11" t="str">
            <v>End User Domestic Exit Point IC</v>
          </cell>
          <cell r="L11" t="str">
            <v>H-Zone</v>
          </cell>
          <cell r="M11">
            <v>1</v>
          </cell>
          <cell r="N11">
            <v>0</v>
          </cell>
          <cell r="O11">
            <v>0</v>
          </cell>
          <cell r="Q11">
            <v>0</v>
          </cell>
          <cell r="S11" t="str">
            <v>22ZFL114310----0</v>
          </cell>
          <cell r="T11" t="str">
            <v>01/09/2015 - Done</v>
          </cell>
        </row>
        <row r="12">
          <cell r="A12" t="str">
            <v>AGC GLASS EUROPE MOUSTIER</v>
          </cell>
          <cell r="B12" t="str">
            <v>51565-N01</v>
          </cell>
          <cell r="C12" t="str">
            <v>51565</v>
          </cell>
          <cell r="D12" t="str">
            <v>Industrial Client</v>
          </cell>
          <cell r="E12" t="str">
            <v>Rue de la Glacerie</v>
          </cell>
          <cell r="F12">
            <v>167</v>
          </cell>
          <cell r="G12">
            <v>5190</v>
          </cell>
          <cell r="H12" t="str">
            <v>JEMEPPE-SUR-SAMBRE</v>
          </cell>
          <cell r="I12" t="str">
            <v>AGC GLASS EUROPE MOUSTIER</v>
          </cell>
          <cell r="J12" t="str">
            <v>007188</v>
          </cell>
          <cell r="K12" t="str">
            <v>End User Domestic Exit Point IC</v>
          </cell>
          <cell r="L12" t="str">
            <v>H-Zone</v>
          </cell>
          <cell r="M12">
            <v>1</v>
          </cell>
          <cell r="N12">
            <v>1</v>
          </cell>
          <cell r="O12">
            <v>0</v>
          </cell>
          <cell r="Q12">
            <v>0</v>
          </cell>
          <cell r="S12" t="str">
            <v>22ZFL007188----O</v>
          </cell>
        </row>
        <row r="13">
          <cell r="A13" t="str">
            <v>AIR LIQUIDE II ANTWERPEN</v>
          </cell>
          <cell r="B13" t="str">
            <v>21201-N01</v>
          </cell>
          <cell r="C13" t="str">
            <v>21201</v>
          </cell>
          <cell r="D13" t="str">
            <v>Industrial Client</v>
          </cell>
          <cell r="E13" t="str">
            <v>Scheldelaan - Haven 725</v>
          </cell>
          <cell r="F13">
            <v>600</v>
          </cell>
          <cell r="G13">
            <v>2040</v>
          </cell>
          <cell r="H13" t="str">
            <v>ANTWERPEN</v>
          </cell>
          <cell r="I13" t="str">
            <v>AIR LIQUIDE ANTWERPEN SITE BASF</v>
          </cell>
          <cell r="J13" t="str">
            <v>007133</v>
          </cell>
          <cell r="K13" t="str">
            <v>End User Domestic Exit Point IC</v>
          </cell>
          <cell r="L13" t="str">
            <v>H-Zone</v>
          </cell>
          <cell r="M13">
            <v>1</v>
          </cell>
          <cell r="N13">
            <v>0</v>
          </cell>
          <cell r="O13">
            <v>0</v>
          </cell>
          <cell r="Q13">
            <v>0</v>
          </cell>
          <cell r="S13" t="str">
            <v>22ZFL007133----F</v>
          </cell>
        </row>
        <row r="14">
          <cell r="A14" t="str">
            <v>AIR LIQUIDE INDUSTRIES CHARLEROI</v>
          </cell>
          <cell r="B14" t="str">
            <v>55335-N01</v>
          </cell>
          <cell r="C14" t="str">
            <v>55335</v>
          </cell>
          <cell r="D14" t="str">
            <v>Industrial Client</v>
          </cell>
          <cell r="E14" t="str">
            <v>rue de la réunion</v>
          </cell>
          <cell r="F14" t="str">
            <v>100B</v>
          </cell>
          <cell r="G14">
            <v>6030</v>
          </cell>
          <cell r="H14" t="str">
            <v>MARCHIENNE-AU-PONT</v>
          </cell>
          <cell r="I14" t="str">
            <v>AIR LIQUIDE LARGE INDUSTRIES CHARLEROI</v>
          </cell>
          <cell r="J14" t="str">
            <v>005913</v>
          </cell>
          <cell r="K14" t="str">
            <v>End User Domestic Exit Point IC</v>
          </cell>
          <cell r="L14" t="str">
            <v>H-Zone</v>
          </cell>
          <cell r="M14">
            <v>1</v>
          </cell>
          <cell r="N14">
            <v>1</v>
          </cell>
          <cell r="O14">
            <v>0</v>
          </cell>
          <cell r="Q14">
            <v>1</v>
          </cell>
          <cell r="S14" t="str">
            <v>22ZFL005913----K</v>
          </cell>
        </row>
        <row r="15">
          <cell r="A15" t="str">
            <v>AIR LIQUIDE LARGE INDUSTRY</v>
          </cell>
          <cell r="B15" t="str">
            <v>21193-N01</v>
          </cell>
          <cell r="C15" t="str">
            <v>21193</v>
          </cell>
          <cell r="D15" t="str">
            <v>Industrial Client</v>
          </cell>
          <cell r="E15" t="str">
            <v>Scheldelaan  Blok E650</v>
          </cell>
          <cell r="F15">
            <v>600</v>
          </cell>
          <cell r="G15">
            <v>2040</v>
          </cell>
          <cell r="H15" t="str">
            <v>ANTWERPEN</v>
          </cell>
          <cell r="I15" t="str">
            <v>AIR LIQUIDE ANTWERPEN SITE BASF</v>
          </cell>
          <cell r="J15" t="str">
            <v>007133</v>
          </cell>
          <cell r="K15" t="str">
            <v>End User Domestic Exit Point IC</v>
          </cell>
          <cell r="L15" t="str">
            <v>H-Zone</v>
          </cell>
          <cell r="M15">
            <v>1</v>
          </cell>
          <cell r="N15">
            <v>0</v>
          </cell>
          <cell r="O15">
            <v>0</v>
          </cell>
          <cell r="Q15">
            <v>0</v>
          </cell>
          <cell r="S15" t="str">
            <v>22ZFL007133----F</v>
          </cell>
        </row>
        <row r="16">
          <cell r="A16" t="str">
            <v>AKZO NOBEL CHEMICALS GHLIN</v>
          </cell>
          <cell r="B16" t="str">
            <v>75709-N01</v>
          </cell>
          <cell r="C16" t="str">
            <v>75709</v>
          </cell>
          <cell r="D16" t="str">
            <v>Industrial Client</v>
          </cell>
          <cell r="E16" t="str">
            <v>Parc Industriel de Ghlin  Zone A</v>
          </cell>
          <cell r="F16" t="str">
            <v>z/n</v>
          </cell>
          <cell r="G16">
            <v>7011</v>
          </cell>
          <cell r="H16" t="str">
            <v>GHLIN</v>
          </cell>
          <cell r="I16" t="str">
            <v>AKZO NOBEL CHEMICALS GHLIN</v>
          </cell>
          <cell r="J16" t="str">
            <v>004774</v>
          </cell>
          <cell r="K16" t="str">
            <v>End User Domestic Exit Point IC</v>
          </cell>
          <cell r="L16" t="str">
            <v>H-Zone</v>
          </cell>
          <cell r="M16">
            <v>1</v>
          </cell>
          <cell r="N16">
            <v>0</v>
          </cell>
          <cell r="O16">
            <v>0</v>
          </cell>
          <cell r="Q16">
            <v>0</v>
          </cell>
          <cell r="S16" t="str">
            <v>22ZFL004774----Y</v>
          </cell>
        </row>
        <row r="17">
          <cell r="A17" t="str">
            <v>ALCOBIOFUEL GENT</v>
          </cell>
          <cell r="B17" t="str">
            <v>42213-N01</v>
          </cell>
          <cell r="C17" t="str">
            <v>42213</v>
          </cell>
          <cell r="D17" t="str">
            <v>Industrial Client</v>
          </cell>
          <cell r="E17" t="str">
            <v>Pleitstraat</v>
          </cell>
          <cell r="F17">
            <v>1</v>
          </cell>
          <cell r="G17">
            <v>9042</v>
          </cell>
          <cell r="H17" t="str">
            <v>GENT</v>
          </cell>
          <cell r="I17" t="str">
            <v>ALCOBIOFUEL GENT</v>
          </cell>
          <cell r="J17" t="str">
            <v>005927</v>
          </cell>
          <cell r="K17" t="str">
            <v>End User Domestic Exit Point IC</v>
          </cell>
          <cell r="L17" t="str">
            <v>H-Zone</v>
          </cell>
          <cell r="M17">
            <v>1</v>
          </cell>
          <cell r="N17">
            <v>0</v>
          </cell>
          <cell r="O17">
            <v>0</v>
          </cell>
          <cell r="Q17">
            <v>0</v>
          </cell>
          <cell r="S17" t="str">
            <v>22ZFL005927----Q</v>
          </cell>
        </row>
        <row r="18">
          <cell r="A18" t="str">
            <v>ALGIST BRUGGEMAN NV GENT</v>
          </cell>
          <cell r="B18" t="str">
            <v>42363-N01</v>
          </cell>
          <cell r="C18" t="str">
            <v>42363</v>
          </cell>
          <cell r="D18" t="str">
            <v>Industrial Client</v>
          </cell>
          <cell r="E18" t="str">
            <v>Langerbruggekaai</v>
          </cell>
          <cell r="F18">
            <v>37</v>
          </cell>
          <cell r="G18">
            <v>9000</v>
          </cell>
          <cell r="H18" t="str">
            <v>GENT</v>
          </cell>
          <cell r="I18" t="str">
            <v>ALGIST BRUGGEMAN NV GENT</v>
          </cell>
          <cell r="J18" t="str">
            <v>005956</v>
          </cell>
          <cell r="K18" t="str">
            <v>End User Domestic Exit Point IC</v>
          </cell>
          <cell r="L18" t="str">
            <v>H-Zone</v>
          </cell>
          <cell r="M18">
            <v>1</v>
          </cell>
          <cell r="N18">
            <v>0</v>
          </cell>
          <cell r="O18">
            <v>0</v>
          </cell>
          <cell r="Q18">
            <v>0</v>
          </cell>
          <cell r="S18" t="str">
            <v>22ZFL005956----B</v>
          </cell>
        </row>
        <row r="19">
          <cell r="A19" t="str">
            <v>ALINSO N.V. GENT</v>
          </cell>
          <cell r="B19" t="str">
            <v>42195-N01</v>
          </cell>
          <cell r="C19" t="str">
            <v>42195</v>
          </cell>
          <cell r="D19" t="str">
            <v>Industrial Client</v>
          </cell>
          <cell r="E19" t="str">
            <v>Nederzwijnaarde</v>
          </cell>
          <cell r="F19">
            <v>2</v>
          </cell>
          <cell r="G19">
            <v>9052</v>
          </cell>
          <cell r="H19" t="str">
            <v>ZWIJNAARDE</v>
          </cell>
          <cell r="I19" t="str">
            <v>ALINSO N.V. GENT</v>
          </cell>
          <cell r="J19" t="str">
            <v>004737</v>
          </cell>
          <cell r="K19" t="str">
            <v>End User Domestic Exit Point IC</v>
          </cell>
          <cell r="L19" t="str">
            <v>H-Zone</v>
          </cell>
          <cell r="M19">
            <v>1</v>
          </cell>
          <cell r="N19">
            <v>1</v>
          </cell>
          <cell r="O19">
            <v>0</v>
          </cell>
          <cell r="Q19">
            <v>1</v>
          </cell>
          <cell r="S19" t="str">
            <v>22ZFL004737----7</v>
          </cell>
        </row>
        <row r="20">
          <cell r="A20" t="str">
            <v>AMCOR FLEXIBLES TRANSPAC NV</v>
          </cell>
          <cell r="B20" t="str">
            <v>42189-N01</v>
          </cell>
          <cell r="C20" t="str">
            <v>42189</v>
          </cell>
          <cell r="D20" t="str">
            <v>Industrial Client</v>
          </cell>
          <cell r="E20" t="str">
            <v>Ottergemsesteenweg Zuid</v>
          </cell>
          <cell r="F20">
            <v>801</v>
          </cell>
          <cell r="G20">
            <v>9000</v>
          </cell>
          <cell r="H20" t="str">
            <v>GENT</v>
          </cell>
          <cell r="I20" t="str">
            <v>AMCOR FLEXIBLES TRANSPAC NV</v>
          </cell>
          <cell r="J20" t="str">
            <v>004736</v>
          </cell>
          <cell r="K20" t="str">
            <v>End User Domestic Exit Point IC</v>
          </cell>
          <cell r="L20" t="str">
            <v>H-Zone</v>
          </cell>
          <cell r="M20">
            <v>1</v>
          </cell>
          <cell r="N20">
            <v>1</v>
          </cell>
          <cell r="O20">
            <v>0</v>
          </cell>
          <cell r="Q20">
            <v>1</v>
          </cell>
          <cell r="S20" t="str">
            <v>22ZFL004736----D</v>
          </cell>
        </row>
        <row r="21">
          <cell r="A21" t="str">
            <v>AMPACET BELGIUM MESSANCY</v>
          </cell>
          <cell r="B21" t="str">
            <v>87543-N01</v>
          </cell>
          <cell r="C21" t="str">
            <v>87543</v>
          </cell>
          <cell r="D21" t="str">
            <v>Industrial Client</v>
          </cell>
          <cell r="E21" t="str">
            <v>Rue d'Ampacet</v>
          </cell>
          <cell r="F21">
            <v>1</v>
          </cell>
          <cell r="G21">
            <v>6780</v>
          </cell>
          <cell r="H21" t="str">
            <v>MESSANCY</v>
          </cell>
          <cell r="I21" t="str">
            <v>AMPACET BELGIUM MESSANCY</v>
          </cell>
          <cell r="J21" t="str">
            <v>875430</v>
          </cell>
          <cell r="K21" t="str">
            <v>End User Domestic Exit Point IC</v>
          </cell>
          <cell r="L21" t="str">
            <v>H-Zone</v>
          </cell>
          <cell r="M21">
            <v>1</v>
          </cell>
          <cell r="N21">
            <v>0</v>
          </cell>
          <cell r="O21">
            <v>0</v>
          </cell>
          <cell r="Q21">
            <v>0</v>
          </cell>
          <cell r="S21" t="str">
            <v>22ZFL875430----H</v>
          </cell>
        </row>
        <row r="22">
          <cell r="A22" t="str">
            <v>APERAM CHÂTELET- STAINLESS EUROPE</v>
          </cell>
          <cell r="B22" t="str">
            <v>54163-N01</v>
          </cell>
          <cell r="C22" t="str">
            <v>54163</v>
          </cell>
          <cell r="D22" t="str">
            <v>Industrial Client</v>
          </cell>
          <cell r="E22" t="str">
            <v>rue des Ateliers</v>
          </cell>
          <cell r="F22">
            <v>14</v>
          </cell>
          <cell r="G22">
            <v>6200</v>
          </cell>
          <cell r="H22" t="str">
            <v>CHÂTELET</v>
          </cell>
          <cell r="I22" t="str">
            <v>APERAM CHÂTELET - STAINLESS EUROPE</v>
          </cell>
          <cell r="J22" t="str">
            <v>004871</v>
          </cell>
          <cell r="K22" t="str">
            <v>End User Domestic Exit Point IC</v>
          </cell>
          <cell r="L22" t="str">
            <v>H-Zone</v>
          </cell>
          <cell r="M22">
            <v>1</v>
          </cell>
          <cell r="N22">
            <v>1</v>
          </cell>
          <cell r="O22">
            <v>0</v>
          </cell>
          <cell r="Q22">
            <v>1</v>
          </cell>
          <cell r="S22" t="str">
            <v>22ZFL004871----7</v>
          </cell>
        </row>
        <row r="23">
          <cell r="A23" t="str">
            <v>APERAM GENK - STAINLESS EUROPE</v>
          </cell>
          <cell r="B23" t="str">
            <v>15053-N01</v>
          </cell>
          <cell r="C23" t="str">
            <v>15053</v>
          </cell>
          <cell r="D23" t="str">
            <v>Industrial Client</v>
          </cell>
          <cell r="E23" t="str">
            <v>Swinnenwijerstraat (Genk-Zuid Zone 6A)</v>
          </cell>
          <cell r="F23">
            <v>5</v>
          </cell>
          <cell r="G23">
            <v>3600</v>
          </cell>
          <cell r="H23" t="str">
            <v>GENK</v>
          </cell>
          <cell r="I23" t="str">
            <v>APERAM GENK - STAINLESS EUROPE</v>
          </cell>
          <cell r="J23" t="str">
            <v>004703</v>
          </cell>
          <cell r="K23" t="str">
            <v>End User Domestic Exit Point IC</v>
          </cell>
          <cell r="L23" t="str">
            <v>H-Zone</v>
          </cell>
          <cell r="M23">
            <v>1</v>
          </cell>
          <cell r="N23">
            <v>0</v>
          </cell>
          <cell r="O23">
            <v>0</v>
          </cell>
          <cell r="Q23">
            <v>0</v>
          </cell>
          <cell r="S23" t="str">
            <v>22ZFL004703----F</v>
          </cell>
        </row>
        <row r="24">
          <cell r="A24" t="str">
            <v>ARCELORMITTAL FCS GENK</v>
          </cell>
          <cell r="B24" t="str">
            <v>15069-N01</v>
          </cell>
          <cell r="C24" t="str">
            <v>15069</v>
          </cell>
          <cell r="D24" t="str">
            <v>Industrial Client</v>
          </cell>
          <cell r="E24" t="str">
            <v>Kanaaloever</v>
          </cell>
          <cell r="F24">
            <v>3</v>
          </cell>
          <cell r="G24">
            <v>3600</v>
          </cell>
          <cell r="H24" t="str">
            <v>GENK</v>
          </cell>
          <cell r="I24" t="str">
            <v>ARCELORMITTAL FCS GENK</v>
          </cell>
          <cell r="J24" t="str">
            <v>150690</v>
          </cell>
          <cell r="K24" t="str">
            <v>End User Domestic Exit Point IC</v>
          </cell>
          <cell r="L24" t="str">
            <v>H-Zone</v>
          </cell>
          <cell r="M24">
            <v>1</v>
          </cell>
          <cell r="N24">
            <v>0</v>
          </cell>
          <cell r="O24">
            <v>0</v>
          </cell>
          <cell r="Q24">
            <v>0</v>
          </cell>
          <cell r="S24" t="str">
            <v>22ZFL150690----R</v>
          </cell>
        </row>
        <row r="25">
          <cell r="A25" t="str">
            <v>ARCELORMITTAL GENT</v>
          </cell>
          <cell r="B25" t="str">
            <v>42435-N02</v>
          </cell>
          <cell r="C25" t="str">
            <v>42435</v>
          </cell>
          <cell r="D25" t="str">
            <v>Industrial Client</v>
          </cell>
          <cell r="E25" t="str">
            <v>Pres. J.F. Kennedylaan</v>
          </cell>
          <cell r="F25">
            <v>51</v>
          </cell>
          <cell r="G25">
            <v>9042</v>
          </cell>
          <cell r="H25" t="str">
            <v>GENT</v>
          </cell>
          <cell r="I25" t="str">
            <v>ARCELORMITTAL GENT</v>
          </cell>
          <cell r="J25" t="str">
            <v>004738</v>
          </cell>
          <cell r="K25" t="str">
            <v>End User Domestic Exit Point IC</v>
          </cell>
          <cell r="L25" t="str">
            <v>H-Zone</v>
          </cell>
          <cell r="M25">
            <v>1</v>
          </cell>
          <cell r="N25">
            <v>0</v>
          </cell>
          <cell r="O25">
            <v>0</v>
          </cell>
          <cell r="Q25">
            <v>0</v>
          </cell>
          <cell r="S25" t="str">
            <v>22ZFL004738----1</v>
          </cell>
        </row>
        <row r="26">
          <cell r="A26" t="str">
            <v>ARCELORMITTAL LIEGE FLEMALLE</v>
          </cell>
          <cell r="B26" t="str">
            <v>86121-N01</v>
          </cell>
          <cell r="C26" t="str">
            <v>86121</v>
          </cell>
          <cell r="D26" t="str">
            <v>Industrial Client</v>
          </cell>
          <cell r="E26" t="str">
            <v>Quai du Halage</v>
          </cell>
          <cell r="F26">
            <v>10</v>
          </cell>
          <cell r="G26">
            <v>4400</v>
          </cell>
          <cell r="H26" t="str">
            <v>FLEMALLE</v>
          </cell>
          <cell r="I26" t="str">
            <v>ARCELORMITTAL LIEGE FLEMALLE</v>
          </cell>
          <cell r="J26" t="str">
            <v>004882</v>
          </cell>
          <cell r="K26" t="str">
            <v>End User Domestic Exit Point IC</v>
          </cell>
          <cell r="L26" t="str">
            <v>H-Zone</v>
          </cell>
          <cell r="M26">
            <v>1</v>
          </cell>
          <cell r="N26">
            <v>1</v>
          </cell>
          <cell r="O26">
            <v>0</v>
          </cell>
          <cell r="Q26">
            <v>1</v>
          </cell>
          <cell r="S26" t="str">
            <v>22ZFL004882----V</v>
          </cell>
        </row>
        <row r="27">
          <cell r="A27" t="str">
            <v>ARCELORMITTAL LIEGE IVOZ RAMET PEINT-EUROGAL</v>
          </cell>
          <cell r="B27" t="str">
            <v>86207-N01</v>
          </cell>
          <cell r="C27" t="str">
            <v>86207</v>
          </cell>
          <cell r="D27" t="str">
            <v>Industrial Client</v>
          </cell>
          <cell r="E27" t="str">
            <v>Rue de la Boverie</v>
          </cell>
          <cell r="F27">
            <v>5</v>
          </cell>
          <cell r="G27">
            <v>4100</v>
          </cell>
          <cell r="H27" t="str">
            <v>SERAING</v>
          </cell>
          <cell r="I27" t="str">
            <v>ARCELORMITTAL LIEGE IVOZ RAMET PEINT-EUR</v>
          </cell>
          <cell r="J27" t="str">
            <v>004883</v>
          </cell>
          <cell r="K27" t="str">
            <v>End User Domestic Exit Point IC</v>
          </cell>
          <cell r="L27" t="str">
            <v>H-Zone</v>
          </cell>
          <cell r="M27">
            <v>1</v>
          </cell>
          <cell r="N27">
            <v>1</v>
          </cell>
          <cell r="O27">
            <v>0</v>
          </cell>
          <cell r="Q27">
            <v>1</v>
          </cell>
          <cell r="S27" t="str">
            <v>22ZFL004883----P</v>
          </cell>
        </row>
        <row r="28">
          <cell r="A28" t="str">
            <v>ARCELORMITTAL LIEGE RC KESSALES FLEMALLE</v>
          </cell>
          <cell r="B28" t="str">
            <v>84071-N01</v>
          </cell>
          <cell r="C28" t="str">
            <v>84071</v>
          </cell>
          <cell r="D28" t="str">
            <v>Industrial Client</v>
          </cell>
          <cell r="E28" t="str">
            <v>Quai du halage</v>
          </cell>
          <cell r="F28" t="str">
            <v>/</v>
          </cell>
          <cell r="G28">
            <v>4400</v>
          </cell>
          <cell r="H28" t="str">
            <v>FLEMALLE</v>
          </cell>
          <cell r="I28" t="str">
            <v>ARCELORMITTAL LIEGE RC KESSALES FLEMALLE</v>
          </cell>
          <cell r="J28" t="str">
            <v>004879</v>
          </cell>
          <cell r="K28" t="str">
            <v>End User Domestic Exit Point IC</v>
          </cell>
          <cell r="L28" t="str">
            <v>H-Zone</v>
          </cell>
          <cell r="M28">
            <v>1</v>
          </cell>
          <cell r="N28">
            <v>1</v>
          </cell>
          <cell r="O28">
            <v>0</v>
          </cell>
          <cell r="Q28">
            <v>1</v>
          </cell>
          <cell r="S28" t="str">
            <v>22ZFL004879----X</v>
          </cell>
        </row>
        <row r="29">
          <cell r="A29" t="str">
            <v>ARCELORMITTAL LIEGE SERAING</v>
          </cell>
          <cell r="B29" t="str">
            <v>85081-N01</v>
          </cell>
          <cell r="C29" t="str">
            <v>85081</v>
          </cell>
          <cell r="D29" t="str">
            <v>Industrial Client</v>
          </cell>
          <cell r="E29" t="str">
            <v>Rue de la Boverie</v>
          </cell>
          <cell r="F29">
            <v>5</v>
          </cell>
          <cell r="G29">
            <v>4100</v>
          </cell>
          <cell r="H29" t="str">
            <v>SERAING</v>
          </cell>
          <cell r="I29" t="str">
            <v>SERAING OUGREE</v>
          </cell>
          <cell r="J29" t="str">
            <v>005619</v>
          </cell>
          <cell r="K29" t="str">
            <v>End User Domestic Exit Point IC</v>
          </cell>
          <cell r="L29" t="str">
            <v>H-Zone</v>
          </cell>
          <cell r="M29">
            <v>1</v>
          </cell>
          <cell r="N29">
            <v>1</v>
          </cell>
          <cell r="O29">
            <v>0</v>
          </cell>
          <cell r="Q29">
            <v>1</v>
          </cell>
          <cell r="S29" t="str">
            <v>22ZFL005619----8</v>
          </cell>
        </row>
        <row r="30">
          <cell r="A30" t="str">
            <v>ARLANXEO BELGIUM ZWIJNDRECHT</v>
          </cell>
          <cell r="B30" t="str">
            <v>21321-N01</v>
          </cell>
          <cell r="C30" t="str">
            <v>21321</v>
          </cell>
          <cell r="D30" t="str">
            <v>Industrial Client</v>
          </cell>
          <cell r="E30" t="str">
            <v>Haven 1009 - Canadastraat</v>
          </cell>
          <cell r="F30">
            <v>21</v>
          </cell>
          <cell r="G30">
            <v>2070</v>
          </cell>
          <cell r="H30" t="str">
            <v>ZWIJNDRECHT</v>
          </cell>
          <cell r="I30" t="str">
            <v>ARLANXEO BELGIUM ZWIJNDRECHT</v>
          </cell>
          <cell r="J30" t="str">
            <v>004715</v>
          </cell>
          <cell r="K30" t="str">
            <v>End User Domestic Exit Point IC</v>
          </cell>
          <cell r="L30" t="str">
            <v>H-Zone</v>
          </cell>
          <cell r="M30">
            <v>1</v>
          </cell>
          <cell r="N30">
            <v>0</v>
          </cell>
          <cell r="O30">
            <v>0</v>
          </cell>
          <cell r="Q30">
            <v>0</v>
          </cell>
          <cell r="S30" t="str">
            <v>22ZFL004715----X</v>
          </cell>
        </row>
        <row r="31">
          <cell r="A31" t="str">
            <v>ASHLAND SPECIALTIES BELGIUM BVBA DOEL</v>
          </cell>
          <cell r="B31" t="str">
            <v>21451-N01</v>
          </cell>
          <cell r="C31" t="str">
            <v>21451</v>
          </cell>
          <cell r="D31" t="str">
            <v>Industrial Client</v>
          </cell>
          <cell r="E31" t="str">
            <v>Haven 1920 - Geslecht</v>
          </cell>
          <cell r="F31">
            <v>2</v>
          </cell>
          <cell r="G31">
            <v>9130</v>
          </cell>
          <cell r="H31" t="str">
            <v>DOEL</v>
          </cell>
          <cell r="I31" t="str">
            <v>ASHLAND SPECIALTIES BELGIUM BVBA DOEL</v>
          </cell>
          <cell r="J31" t="str">
            <v>004717</v>
          </cell>
          <cell r="K31" t="str">
            <v>End User Domestic Exit Point IC</v>
          </cell>
          <cell r="L31" t="str">
            <v>H-Zone</v>
          </cell>
          <cell r="M31">
            <v>1</v>
          </cell>
          <cell r="N31">
            <v>0</v>
          </cell>
          <cell r="O31">
            <v>0</v>
          </cell>
          <cell r="Q31">
            <v>0</v>
          </cell>
          <cell r="S31" t="str">
            <v>22ZFL004717----L</v>
          </cell>
        </row>
        <row r="32">
          <cell r="A32" t="str">
            <v>ATPC-VTTI ANTWERP TERMINAL PROCESSING PLANT ANTWERPEN</v>
          </cell>
          <cell r="B32" t="str">
            <v>21221-N01</v>
          </cell>
          <cell r="C32" t="str">
            <v>21221</v>
          </cell>
          <cell r="D32" t="str">
            <v>Industrial Client</v>
          </cell>
          <cell r="E32" t="str">
            <v>Haven 279  Beliweg</v>
          </cell>
          <cell r="F32">
            <v>20</v>
          </cell>
          <cell r="G32">
            <v>2030</v>
          </cell>
          <cell r="H32" t="str">
            <v>ANTWERPEN 3</v>
          </cell>
          <cell r="I32" t="str">
            <v>ATPC-VTTI ANTWERP TERMINAL PROCESSING PL</v>
          </cell>
          <cell r="J32" t="str">
            <v>212210</v>
          </cell>
          <cell r="K32" t="str">
            <v>End User Domestic Exit Point IC</v>
          </cell>
          <cell r="L32" t="str">
            <v>H-Zone</v>
          </cell>
          <cell r="M32">
            <v>1</v>
          </cell>
          <cell r="N32">
            <v>0</v>
          </cell>
          <cell r="O32">
            <v>0</v>
          </cell>
          <cell r="Q32">
            <v>0</v>
          </cell>
          <cell r="S32" t="str">
            <v>22ZFL212210----F</v>
          </cell>
          <cell r="T32" t="str">
            <v>01/06/2018 - Done</v>
          </cell>
        </row>
        <row r="33">
          <cell r="A33" t="str">
            <v>BASF 2 ANTWERPEN</v>
          </cell>
          <cell r="B33" t="str">
            <v>21187-N01</v>
          </cell>
          <cell r="C33" t="str">
            <v>21187</v>
          </cell>
          <cell r="D33" t="str">
            <v>Industrial Client</v>
          </cell>
          <cell r="E33" t="str">
            <v>Haven 725 - Scheldelaan</v>
          </cell>
          <cell r="F33" t="str">
            <v>600</v>
          </cell>
          <cell r="G33">
            <v>2040</v>
          </cell>
          <cell r="H33" t="str">
            <v>ANTWERPEN 4</v>
          </cell>
          <cell r="I33" t="str">
            <v>BASF 2 ANTWERPEN</v>
          </cell>
          <cell r="J33" t="str">
            <v>007297</v>
          </cell>
          <cell r="K33" t="str">
            <v>End User Domestic Exit Point IC</v>
          </cell>
          <cell r="L33" t="str">
            <v>H-Zone</v>
          </cell>
          <cell r="M33">
            <v>1</v>
          </cell>
          <cell r="N33">
            <v>0</v>
          </cell>
          <cell r="O33">
            <v>0</v>
          </cell>
          <cell r="Q33">
            <v>0</v>
          </cell>
          <cell r="S33" t="str">
            <v>57ZFL007297----3</v>
          </cell>
        </row>
        <row r="34">
          <cell r="A34" t="str">
            <v>BASF ANTWERPEN</v>
          </cell>
          <cell r="B34" t="str">
            <v>21191-N01</v>
          </cell>
          <cell r="C34" t="str">
            <v>21191</v>
          </cell>
          <cell r="D34" t="str">
            <v>Industrial Client</v>
          </cell>
          <cell r="E34" t="str">
            <v>Haven 725 - Scheldelaan</v>
          </cell>
          <cell r="F34">
            <v>600</v>
          </cell>
          <cell r="G34">
            <v>2040</v>
          </cell>
          <cell r="H34" t="str">
            <v>ANTWERPEN 4</v>
          </cell>
          <cell r="I34" t="str">
            <v>BASF ANTWERPEN</v>
          </cell>
          <cell r="J34" t="str">
            <v>004713</v>
          </cell>
          <cell r="K34" t="str">
            <v>End User Domestic Exit Point IC</v>
          </cell>
          <cell r="L34" t="str">
            <v>H-Zone</v>
          </cell>
          <cell r="M34">
            <v>1</v>
          </cell>
          <cell r="N34">
            <v>0</v>
          </cell>
          <cell r="O34">
            <v>0</v>
          </cell>
          <cell r="Q34">
            <v>0</v>
          </cell>
          <cell r="S34" t="str">
            <v>22ZFL004713----8</v>
          </cell>
        </row>
        <row r="35">
          <cell r="A35" t="str">
            <v>BAXALTA / SHIRE LESSINES</v>
          </cell>
          <cell r="B35" t="str">
            <v>04741-N01</v>
          </cell>
          <cell r="C35" t="str">
            <v>4741</v>
          </cell>
          <cell r="D35" t="str">
            <v>Industrial Client</v>
          </cell>
          <cell r="E35" t="str">
            <v>Boulevard René Branquart</v>
          </cell>
          <cell r="F35">
            <v>80</v>
          </cell>
          <cell r="G35">
            <v>7860</v>
          </cell>
          <cell r="H35" t="str">
            <v>LESSINES</v>
          </cell>
          <cell r="I35" t="str">
            <v>BAXALTA / SHIRE LESSINES</v>
          </cell>
          <cell r="J35" t="str">
            <v>006024</v>
          </cell>
          <cell r="K35" t="str">
            <v>End User Domestic Exit Point IC</v>
          </cell>
          <cell r="L35" t="str">
            <v>H-Zone</v>
          </cell>
          <cell r="M35">
            <v>1</v>
          </cell>
          <cell r="N35">
            <v>0</v>
          </cell>
          <cell r="O35">
            <v>0</v>
          </cell>
          <cell r="Q35">
            <v>0</v>
          </cell>
          <cell r="S35" t="str">
            <v>22ZFL006024----X</v>
          </cell>
        </row>
        <row r="36">
          <cell r="A36" t="str">
            <v>BELASCO GENT</v>
          </cell>
          <cell r="B36" t="str">
            <v>42475-N01</v>
          </cell>
          <cell r="C36" t="str">
            <v>42475</v>
          </cell>
          <cell r="D36" t="str">
            <v>Industrial Client</v>
          </cell>
          <cell r="E36" t="str">
            <v>Haven 7120C - Christoffel Columbuslaan</v>
          </cell>
          <cell r="F36" t="str">
            <v>/</v>
          </cell>
          <cell r="G36">
            <v>9042</v>
          </cell>
          <cell r="H36" t="str">
            <v>GENT</v>
          </cell>
          <cell r="I36" t="str">
            <v>BELASCO GENT</v>
          </cell>
          <cell r="J36" t="str">
            <v>007300</v>
          </cell>
          <cell r="K36" t="str">
            <v>End User Domestic Exit Point IC</v>
          </cell>
          <cell r="L36" t="str">
            <v>H-Zone</v>
          </cell>
          <cell r="M36">
            <v>1</v>
          </cell>
          <cell r="N36">
            <v>0</v>
          </cell>
          <cell r="O36">
            <v>0</v>
          </cell>
          <cell r="Q36">
            <v>0</v>
          </cell>
          <cell r="S36" t="str">
            <v>57ZFL007300----Q</v>
          </cell>
        </row>
        <row r="37">
          <cell r="A37" t="str">
            <v>BELGOMALT SA GEMBLOUX</v>
          </cell>
          <cell r="B37" t="str">
            <v>51321-N01</v>
          </cell>
          <cell r="C37" t="str">
            <v>51321</v>
          </cell>
          <cell r="D37" t="str">
            <v>Industrial Client</v>
          </cell>
          <cell r="E37" t="str">
            <v>Chaussée de Charleroi</v>
          </cell>
          <cell r="F37">
            <v>40</v>
          </cell>
          <cell r="G37">
            <v>5030</v>
          </cell>
          <cell r="H37" t="str">
            <v>GEMBLOUX</v>
          </cell>
          <cell r="I37" t="str">
            <v>BELGOMALT SA GEMBLOUX</v>
          </cell>
          <cell r="J37" t="str">
            <v>513210</v>
          </cell>
          <cell r="K37" t="str">
            <v>End User Domestic Exit Point IC</v>
          </cell>
          <cell r="L37" t="str">
            <v>L-Zone</v>
          </cell>
          <cell r="M37">
            <v>1</v>
          </cell>
          <cell r="N37">
            <v>1</v>
          </cell>
          <cell r="O37">
            <v>0</v>
          </cell>
          <cell r="Q37">
            <v>1</v>
          </cell>
          <cell r="S37" t="str">
            <v>22ZFL513210----A</v>
          </cell>
        </row>
        <row r="38">
          <cell r="A38" t="str">
            <v>BELGOMILK CVBA LANGEMARK</v>
          </cell>
          <cell r="B38" t="str">
            <v>48593-N01</v>
          </cell>
          <cell r="C38" t="str">
            <v>48593</v>
          </cell>
          <cell r="D38" t="str">
            <v>Industrial Client</v>
          </cell>
          <cell r="E38" t="str">
            <v xml:space="preserve">Melkerijstraat </v>
          </cell>
          <cell r="F38">
            <v>10</v>
          </cell>
          <cell r="G38">
            <v>8920</v>
          </cell>
          <cell r="H38" t="str">
            <v>LANGEMARK</v>
          </cell>
          <cell r="I38" t="str">
            <v>BELGOMILK CVBA LANGEMARK</v>
          </cell>
          <cell r="J38" t="str">
            <v>007175</v>
          </cell>
          <cell r="K38" t="str">
            <v>End User Domestic Exit Point IC</v>
          </cell>
          <cell r="L38" t="str">
            <v>H-Zone</v>
          </cell>
          <cell r="M38">
            <v>1</v>
          </cell>
          <cell r="N38">
            <v>0</v>
          </cell>
          <cell r="O38">
            <v>0</v>
          </cell>
          <cell r="Q38">
            <v>0</v>
          </cell>
          <cell r="S38" t="str">
            <v>57ZFL007175----0</v>
          </cell>
        </row>
        <row r="39">
          <cell r="A39" t="str">
            <v>BELGOMILK KALLO</v>
          </cell>
          <cell r="B39" t="str">
            <v>42911-N01</v>
          </cell>
          <cell r="C39" t="str">
            <v>42911</v>
          </cell>
          <cell r="D39" t="str">
            <v>Industrial Client</v>
          </cell>
          <cell r="E39" t="str">
            <v>Fabriekstraat</v>
          </cell>
          <cell r="F39">
            <v>141</v>
          </cell>
          <cell r="G39">
            <v>9120</v>
          </cell>
          <cell r="H39" t="str">
            <v>KALLO</v>
          </cell>
          <cell r="I39" t="str">
            <v>BELGOMILK KALLO</v>
          </cell>
          <cell r="J39" t="str">
            <v>005892</v>
          </cell>
          <cell r="K39" t="str">
            <v>End User Domestic Exit Point IC</v>
          </cell>
          <cell r="L39" t="str">
            <v>H-Zone</v>
          </cell>
          <cell r="M39">
            <v>1</v>
          </cell>
          <cell r="N39">
            <v>0</v>
          </cell>
          <cell r="O39">
            <v>0</v>
          </cell>
          <cell r="Q39">
            <v>0</v>
          </cell>
          <cell r="S39" t="str">
            <v>22ZFL005892----F</v>
          </cell>
        </row>
        <row r="40">
          <cell r="A40" t="str">
            <v>BELREF REFRACTORIES ST-GHISLAIN</v>
          </cell>
          <cell r="B40" t="str">
            <v>44521-N01</v>
          </cell>
          <cell r="C40" t="str">
            <v>44521</v>
          </cell>
          <cell r="D40" t="str">
            <v>Industrial Client</v>
          </cell>
          <cell r="E40" t="str">
            <v>rue de la Riviérette</v>
          </cell>
          <cell r="F40">
            <v>100</v>
          </cell>
          <cell r="G40">
            <v>7330</v>
          </cell>
          <cell r="H40" t="str">
            <v>SAINT-GHISLAIN</v>
          </cell>
          <cell r="I40" t="str">
            <v>BELREF REFRACTORIES ST-GHISLAIN</v>
          </cell>
          <cell r="J40" t="str">
            <v>445210</v>
          </cell>
          <cell r="K40" t="str">
            <v>End User Domestic Exit Point IC</v>
          </cell>
          <cell r="L40" t="str">
            <v>H-Zone</v>
          </cell>
          <cell r="M40">
            <v>1</v>
          </cell>
          <cell r="N40">
            <v>1</v>
          </cell>
          <cell r="O40">
            <v>0</v>
          </cell>
          <cell r="Q40">
            <v>1</v>
          </cell>
          <cell r="S40" t="str">
            <v>22ZFL445210----A</v>
          </cell>
        </row>
        <row r="41">
          <cell r="A41" t="str">
            <v>BIOWANZE SA WANZE</v>
          </cell>
          <cell r="B41" t="str">
            <v>86455-N01</v>
          </cell>
          <cell r="C41" t="str">
            <v>86455</v>
          </cell>
          <cell r="D41" t="str">
            <v>Industrial Client</v>
          </cell>
          <cell r="E41" t="str">
            <v>Rue Léon Charlier</v>
          </cell>
          <cell r="F41">
            <v>11</v>
          </cell>
          <cell r="G41">
            <v>4520</v>
          </cell>
          <cell r="H41" t="str">
            <v>WANZE</v>
          </cell>
          <cell r="I41" t="str">
            <v>BIOWANZE SA WANZE</v>
          </cell>
          <cell r="J41" t="str">
            <v>005928</v>
          </cell>
          <cell r="K41" t="str">
            <v>End User Domestic Exit Point IC</v>
          </cell>
          <cell r="L41" t="str">
            <v>H-Zone</v>
          </cell>
          <cell r="M41">
            <v>1</v>
          </cell>
          <cell r="N41">
            <v>0</v>
          </cell>
          <cell r="O41">
            <v>0</v>
          </cell>
          <cell r="Q41">
            <v>0</v>
          </cell>
          <cell r="S41" t="str">
            <v>22ZFL005928----K</v>
          </cell>
        </row>
        <row r="42">
          <cell r="A42" t="str">
            <v>BLANKEDALE TIENEN</v>
          </cell>
          <cell r="B42" t="str">
            <v>31127-N01</v>
          </cell>
          <cell r="C42" t="str">
            <v>31127</v>
          </cell>
          <cell r="D42" t="str">
            <v>Industrial Client</v>
          </cell>
          <cell r="E42" t="str">
            <v>Pastorijstraat</v>
          </cell>
          <cell r="F42">
            <v>118</v>
          </cell>
          <cell r="G42">
            <v>3300</v>
          </cell>
          <cell r="H42" t="str">
            <v>TIENEN</v>
          </cell>
          <cell r="I42" t="str">
            <v>BLANKEDALE TIENEN</v>
          </cell>
          <cell r="J42" t="str">
            <v>006025</v>
          </cell>
          <cell r="K42" t="str">
            <v>End User Domestic Exit Point IC</v>
          </cell>
          <cell r="L42" t="str">
            <v>L-Zone</v>
          </cell>
          <cell r="M42">
            <v>1</v>
          </cell>
          <cell r="N42">
            <v>1</v>
          </cell>
          <cell r="O42">
            <v>0</v>
          </cell>
          <cell r="Q42">
            <v>1</v>
          </cell>
          <cell r="S42" t="str">
            <v>22ZFL006025----R</v>
          </cell>
        </row>
        <row r="43">
          <cell r="A43" t="str">
            <v>BOREALIS KALLO</v>
          </cell>
          <cell r="B43" t="str">
            <v>42887-N01</v>
          </cell>
          <cell r="C43" t="str">
            <v>42887</v>
          </cell>
          <cell r="D43" t="str">
            <v>Industrial Client</v>
          </cell>
          <cell r="E43" t="str">
            <v>Haven 1568 - Sint-Jansweg</v>
          </cell>
          <cell r="F43">
            <v>2</v>
          </cell>
          <cell r="G43">
            <v>9130</v>
          </cell>
          <cell r="H43" t="str">
            <v>KALLO</v>
          </cell>
          <cell r="I43" t="str">
            <v>BOREALIS KALLO</v>
          </cell>
          <cell r="J43" t="str">
            <v>004744</v>
          </cell>
          <cell r="K43" t="str">
            <v>End User Domestic Exit Point IC</v>
          </cell>
          <cell r="L43" t="str">
            <v>H-Zone</v>
          </cell>
          <cell r="M43">
            <v>1</v>
          </cell>
          <cell r="N43">
            <v>0</v>
          </cell>
          <cell r="O43">
            <v>0</v>
          </cell>
          <cell r="Q43">
            <v>0</v>
          </cell>
          <cell r="S43" t="str">
            <v>22ZFL004744----I</v>
          </cell>
        </row>
        <row r="44">
          <cell r="A44" t="str">
            <v>BOREALIS POLYMERS NV BERINGEN</v>
          </cell>
          <cell r="B44" t="str">
            <v>11517-N02</v>
          </cell>
          <cell r="C44" t="str">
            <v>11519</v>
          </cell>
          <cell r="D44" t="str">
            <v>Industrial Client</v>
          </cell>
          <cell r="E44" t="str">
            <v>Industrieweg</v>
          </cell>
          <cell r="F44">
            <v>148</v>
          </cell>
          <cell r="G44">
            <v>3583</v>
          </cell>
          <cell r="H44" t="str">
            <v>PAAL-BERINGEN</v>
          </cell>
          <cell r="I44" t="str">
            <v>BOREALIS POLYMERS NV BERINGEN</v>
          </cell>
          <cell r="J44" t="str">
            <v>004698</v>
          </cell>
          <cell r="K44" t="str">
            <v>End User Domestic Exit Point IC</v>
          </cell>
          <cell r="L44" t="str">
            <v>H-Zone</v>
          </cell>
          <cell r="M44">
            <v>1</v>
          </cell>
          <cell r="N44">
            <v>0</v>
          </cell>
          <cell r="O44">
            <v>0</v>
          </cell>
          <cell r="Q44">
            <v>0</v>
          </cell>
          <cell r="S44" t="str">
            <v>22ZFL004698----4</v>
          </cell>
          <cell r="T44" t="str">
            <v>01/09/2015 - Done</v>
          </cell>
        </row>
        <row r="45">
          <cell r="A45" t="str">
            <v>BP CHEMBEL GEEL</v>
          </cell>
          <cell r="B45" t="str">
            <v>18091-N01</v>
          </cell>
          <cell r="C45" t="str">
            <v>18091</v>
          </cell>
          <cell r="D45" t="str">
            <v>Industrial Client</v>
          </cell>
          <cell r="E45" t="str">
            <v>Amocolaan</v>
          </cell>
          <cell r="F45">
            <v>2</v>
          </cell>
          <cell r="G45">
            <v>2440</v>
          </cell>
          <cell r="H45" t="str">
            <v>GEEL</v>
          </cell>
          <cell r="I45" t="str">
            <v>BP CHEMBEL GEEL</v>
          </cell>
          <cell r="J45" t="str">
            <v>004710</v>
          </cell>
          <cell r="K45" t="str">
            <v>End User Domestic Exit Point IC</v>
          </cell>
          <cell r="L45" t="str">
            <v>H-Zone</v>
          </cell>
          <cell r="M45">
            <v>1</v>
          </cell>
          <cell r="N45">
            <v>0</v>
          </cell>
          <cell r="O45">
            <v>0</v>
          </cell>
          <cell r="Q45">
            <v>0</v>
          </cell>
          <cell r="S45" t="str">
            <v>22ZFL004710----Q</v>
          </cell>
          <cell r="T45" t="str">
            <v>01/09/2015 - Done</v>
          </cell>
        </row>
        <row r="46">
          <cell r="A46" t="str">
            <v>BRUSSELS AIRPORT COMPANY N.V. ZAVENTEM</v>
          </cell>
          <cell r="B46" t="str">
            <v>32121-N01</v>
          </cell>
          <cell r="C46" t="str">
            <v>32121</v>
          </cell>
          <cell r="D46" t="str">
            <v>Industrial Client</v>
          </cell>
          <cell r="E46" t="str">
            <v>Luchthaven Brussel-Nationaal gebouw 16</v>
          </cell>
          <cell r="F46" t="str">
            <v>z/n</v>
          </cell>
          <cell r="G46">
            <v>1930</v>
          </cell>
          <cell r="H46" t="str">
            <v>ZAVENTEM</v>
          </cell>
          <cell r="I46" t="str">
            <v>BRUSSELS AIRPORT COMPANY N.V. ZAVENTEM</v>
          </cell>
          <cell r="J46" t="str">
            <v>004727</v>
          </cell>
          <cell r="K46" t="str">
            <v>End User Domestic Exit Point IC</v>
          </cell>
          <cell r="L46" t="str">
            <v>L-Zone</v>
          </cell>
          <cell r="M46">
            <v>1</v>
          </cell>
          <cell r="N46">
            <v>1</v>
          </cell>
          <cell r="O46">
            <v>0</v>
          </cell>
          <cell r="Q46">
            <v>1</v>
          </cell>
          <cell r="S46" t="str">
            <v>22ZFL004727----E</v>
          </cell>
        </row>
        <row r="47">
          <cell r="A47" t="str">
            <v>BURGO VIRTON</v>
          </cell>
          <cell r="B47" t="str">
            <v>87471-N01</v>
          </cell>
          <cell r="C47" t="str">
            <v>87471</v>
          </cell>
          <cell r="D47" t="str">
            <v>Industrial Client</v>
          </cell>
          <cell r="E47" t="str">
            <v xml:space="preserve">Rue de la Papeterie </v>
          </cell>
          <cell r="F47">
            <v>1</v>
          </cell>
          <cell r="G47">
            <v>6760</v>
          </cell>
          <cell r="H47" t="str">
            <v>VIRTON</v>
          </cell>
          <cell r="I47" t="str">
            <v>BURGO VIRTON</v>
          </cell>
          <cell r="J47" t="str">
            <v>007170</v>
          </cell>
          <cell r="K47" t="str">
            <v>End User Domestic Exit Point IC</v>
          </cell>
          <cell r="L47" t="str">
            <v>H-Zone</v>
          </cell>
          <cell r="M47">
            <v>1</v>
          </cell>
          <cell r="N47">
            <v>0</v>
          </cell>
          <cell r="O47">
            <v>0</v>
          </cell>
          <cell r="Q47">
            <v>0</v>
          </cell>
          <cell r="S47" t="str">
            <v>57ZFL007170----U</v>
          </cell>
        </row>
        <row r="48">
          <cell r="A48" t="str">
            <v xml:space="preserve">BVBA HERDI ZWIJNDRECHT </v>
          </cell>
          <cell r="B48" t="str">
            <v>21435-N01</v>
          </cell>
          <cell r="C48" t="str">
            <v>21435</v>
          </cell>
          <cell r="D48" t="str">
            <v>Industrial Client</v>
          </cell>
          <cell r="E48" t="str">
            <v>Blauwe Hoevestraat</v>
          </cell>
          <cell r="F48">
            <v>17</v>
          </cell>
          <cell r="G48">
            <v>2070</v>
          </cell>
          <cell r="H48" t="str">
            <v>ZWIJNDRECHT</v>
          </cell>
          <cell r="I48" t="str">
            <v>BVBA HERDI ZWIJNDRECHT</v>
          </cell>
          <cell r="J48" t="str">
            <v>007311</v>
          </cell>
          <cell r="K48" t="str">
            <v>End User Domestic Exit Point IC</v>
          </cell>
          <cell r="L48" t="str">
            <v>H-Zone</v>
          </cell>
          <cell r="M48">
            <v>1</v>
          </cell>
          <cell r="N48">
            <v>0</v>
          </cell>
          <cell r="O48">
            <v>0</v>
          </cell>
          <cell r="Q48">
            <v>0</v>
          </cell>
          <cell r="S48" t="str">
            <v>57ZFL007311----D</v>
          </cell>
        </row>
        <row r="49">
          <cell r="A49" t="str">
            <v>CARGILL GENT</v>
          </cell>
          <cell r="B49" t="str">
            <v>42219-N01</v>
          </cell>
          <cell r="C49" t="str">
            <v>42219</v>
          </cell>
          <cell r="D49" t="str">
            <v>Industrial Client</v>
          </cell>
          <cell r="E49" t="str">
            <v>Moervaartkaai</v>
          </cell>
          <cell r="F49">
            <v>1</v>
          </cell>
          <cell r="G49">
            <v>9042</v>
          </cell>
          <cell r="H49" t="str">
            <v>GENT</v>
          </cell>
          <cell r="I49" t="str">
            <v>CARGILL NV GENT</v>
          </cell>
          <cell r="J49" t="str">
            <v>005929</v>
          </cell>
          <cell r="K49" t="str">
            <v>End User Domestic Exit Point IC</v>
          </cell>
          <cell r="L49" t="str">
            <v>H-Zone</v>
          </cell>
          <cell r="M49">
            <v>1</v>
          </cell>
          <cell r="N49">
            <v>0</v>
          </cell>
          <cell r="O49">
            <v>0</v>
          </cell>
          <cell r="Q49">
            <v>0</v>
          </cell>
          <cell r="S49" t="str">
            <v>22ZFL005929----E</v>
          </cell>
        </row>
        <row r="50">
          <cell r="A50" t="str">
            <v>CARGILL MALT HERENT</v>
          </cell>
          <cell r="B50" t="str">
            <v>31409-N01</v>
          </cell>
          <cell r="C50" t="str">
            <v>31409</v>
          </cell>
          <cell r="D50" t="str">
            <v>Industrial Client</v>
          </cell>
          <cell r="E50" t="str">
            <v>Zijpstraat</v>
          </cell>
          <cell r="F50">
            <v>155</v>
          </cell>
          <cell r="G50">
            <v>3020</v>
          </cell>
          <cell r="H50" t="str">
            <v>HERENT</v>
          </cell>
          <cell r="I50" t="str">
            <v>CARGILL MALT HERENT</v>
          </cell>
          <cell r="J50" t="str">
            <v>004726</v>
          </cell>
          <cell r="K50" t="str">
            <v>End User Domestic Exit Point IC</v>
          </cell>
          <cell r="L50" t="str">
            <v>L-Zone</v>
          </cell>
          <cell r="M50">
            <v>1</v>
          </cell>
          <cell r="N50">
            <v>0</v>
          </cell>
          <cell r="O50">
            <v>0</v>
          </cell>
          <cell r="Q50">
            <v>0</v>
          </cell>
          <cell r="S50" t="str">
            <v>22ZFL004726----K</v>
          </cell>
        </row>
        <row r="51">
          <cell r="A51" t="str">
            <v>CARGILL NV ANTWERPEN</v>
          </cell>
          <cell r="B51" t="str">
            <v>21131-N01</v>
          </cell>
          <cell r="C51" t="str">
            <v>21131</v>
          </cell>
          <cell r="D51" t="str">
            <v>Industrial Client</v>
          </cell>
          <cell r="E51" t="str">
            <v>Haven 506 - Muisbroeklaan</v>
          </cell>
          <cell r="F51">
            <v>43</v>
          </cell>
          <cell r="G51">
            <v>2030</v>
          </cell>
          <cell r="H51" t="str">
            <v>ANTWERPEN 3</v>
          </cell>
          <cell r="I51" t="str">
            <v>CARGILL NV ANTWERPEN</v>
          </cell>
          <cell r="J51" t="str">
            <v>211310</v>
          </cell>
          <cell r="K51" t="str">
            <v>End User Domestic Exit Point IC</v>
          </cell>
          <cell r="L51" t="str">
            <v>L-Zone</v>
          </cell>
          <cell r="M51">
            <v>1</v>
          </cell>
          <cell r="N51">
            <v>0</v>
          </cell>
          <cell r="O51">
            <v>0</v>
          </cell>
          <cell r="Q51">
            <v>0</v>
          </cell>
          <cell r="S51" t="str">
            <v>22ZFL211310----G</v>
          </cell>
        </row>
        <row r="52">
          <cell r="A52" t="str">
            <v>CARMEUSE AISEMONT</v>
          </cell>
          <cell r="B52" t="str">
            <v>53191-N01</v>
          </cell>
          <cell r="C52" t="str">
            <v>53191</v>
          </cell>
          <cell r="D52" t="str">
            <v>Industrial Client</v>
          </cell>
          <cell r="E52" t="str">
            <v>rue de Boudjesse</v>
          </cell>
          <cell r="F52">
            <v>1</v>
          </cell>
          <cell r="G52">
            <v>5070</v>
          </cell>
          <cell r="H52" t="str">
            <v>FOSSES-LA-VILLE</v>
          </cell>
          <cell r="I52" t="str">
            <v>CARMEUSE AISEMONT</v>
          </cell>
          <cell r="J52" t="str">
            <v>004755</v>
          </cell>
          <cell r="K52" t="str">
            <v>End User Domestic Exit Point IC</v>
          </cell>
          <cell r="L52" t="str">
            <v>H-Zone</v>
          </cell>
          <cell r="M52">
            <v>1</v>
          </cell>
          <cell r="N52">
            <v>1</v>
          </cell>
          <cell r="O52">
            <v>0</v>
          </cell>
          <cell r="Q52">
            <v>0</v>
          </cell>
          <cell r="S52" t="str">
            <v>22ZFL004755----5</v>
          </cell>
        </row>
        <row r="53">
          <cell r="A53" t="str">
            <v>CARMEUSE ENGIS</v>
          </cell>
          <cell r="B53" t="str">
            <v>86811-N01</v>
          </cell>
          <cell r="C53" t="str">
            <v>86811</v>
          </cell>
          <cell r="D53" t="str">
            <v>Industrial Client</v>
          </cell>
          <cell r="E53" t="str">
            <v>Rue de Ramet</v>
          </cell>
          <cell r="F53" t="str">
            <v>z/n</v>
          </cell>
          <cell r="G53">
            <v>4480</v>
          </cell>
          <cell r="H53" t="str">
            <v>ENGIS</v>
          </cell>
          <cell r="I53" t="str">
            <v>CARMEUSE ENGIS</v>
          </cell>
          <cell r="J53" t="str">
            <v>868110</v>
          </cell>
          <cell r="K53" t="str">
            <v>End User Domestic Exit Point IC</v>
          </cell>
          <cell r="L53" t="str">
            <v>H-Zone</v>
          </cell>
          <cell r="M53">
            <v>1</v>
          </cell>
          <cell r="N53">
            <v>0</v>
          </cell>
          <cell r="O53">
            <v>0</v>
          </cell>
          <cell r="Q53">
            <v>0</v>
          </cell>
          <cell r="S53" t="str">
            <v>22ZFL868110----1</v>
          </cell>
        </row>
        <row r="54">
          <cell r="A54" t="str">
            <v>CARMEUSE SEILLES</v>
          </cell>
          <cell r="B54" t="str">
            <v>86741-N01</v>
          </cell>
          <cell r="C54" t="str">
            <v>86741</v>
          </cell>
          <cell r="D54" t="str">
            <v>Industrial Client</v>
          </cell>
          <cell r="E54" t="str">
            <v>rue des Forges</v>
          </cell>
          <cell r="F54" t="str">
            <v>z/n</v>
          </cell>
          <cell r="G54">
            <v>5300</v>
          </cell>
          <cell r="H54" t="str">
            <v>SEILLES</v>
          </cell>
          <cell r="I54" t="str">
            <v>CARMEUSE SEILLES</v>
          </cell>
          <cell r="J54" t="str">
            <v>004784</v>
          </cell>
          <cell r="K54" t="str">
            <v>End User Domestic Exit Point IC</v>
          </cell>
          <cell r="L54" t="str">
            <v>H-Zone</v>
          </cell>
          <cell r="M54">
            <v>1</v>
          </cell>
          <cell r="N54">
            <v>1</v>
          </cell>
          <cell r="O54">
            <v>0</v>
          </cell>
          <cell r="Q54">
            <v>1</v>
          </cell>
          <cell r="S54" t="str">
            <v>22ZFL004784----R</v>
          </cell>
        </row>
        <row r="55">
          <cell r="A55" t="str">
            <v>CARMEUSE US. DE MOHA</v>
          </cell>
          <cell r="B55" t="str">
            <v>86711-N01</v>
          </cell>
          <cell r="C55" t="str">
            <v>86711</v>
          </cell>
          <cell r="D55" t="str">
            <v>Industrial Client</v>
          </cell>
          <cell r="E55" t="str">
            <v>rue du Val Notre-Dame</v>
          </cell>
          <cell r="F55" t="str">
            <v>z/n</v>
          </cell>
          <cell r="G55">
            <v>4520</v>
          </cell>
          <cell r="H55" t="str">
            <v>MOHA</v>
          </cell>
          <cell r="I55" t="str">
            <v>CARMEUSE US. DE MOHA</v>
          </cell>
          <cell r="J55" t="str">
            <v>004783</v>
          </cell>
          <cell r="K55" t="str">
            <v>End User Domestic Exit Point IC</v>
          </cell>
          <cell r="L55" t="str">
            <v>H-Zone</v>
          </cell>
          <cell r="M55">
            <v>1</v>
          </cell>
          <cell r="N55">
            <v>1</v>
          </cell>
          <cell r="O55">
            <v>0</v>
          </cell>
          <cell r="Q55">
            <v>1</v>
          </cell>
          <cell r="S55" t="str">
            <v>22ZFL004783----X</v>
          </cell>
        </row>
        <row r="56">
          <cell r="A56" t="str">
            <v>CBR GENT</v>
          </cell>
          <cell r="B56" t="str">
            <v>42433-N01</v>
          </cell>
          <cell r="C56" t="str">
            <v>42433</v>
          </cell>
          <cell r="D56" t="str">
            <v>Industrial Client</v>
          </cell>
          <cell r="E56" t="str">
            <v>Arbedkaai</v>
          </cell>
          <cell r="F56">
            <v>3</v>
          </cell>
          <cell r="G56">
            <v>9042</v>
          </cell>
          <cell r="H56" t="str">
            <v>SINT-KRUIS-WINKEL</v>
          </cell>
          <cell r="I56" t="str">
            <v>CBR GENT</v>
          </cell>
          <cell r="J56" t="str">
            <v>424330</v>
          </cell>
          <cell r="K56" t="str">
            <v>End User Domestic Exit Point IC</v>
          </cell>
          <cell r="L56" t="str">
            <v>H-Zone</v>
          </cell>
          <cell r="M56">
            <v>1</v>
          </cell>
          <cell r="N56">
            <v>0</v>
          </cell>
          <cell r="O56">
            <v>0</v>
          </cell>
          <cell r="Q56">
            <v>0</v>
          </cell>
          <cell r="S56" t="str">
            <v>22ZFL424330----H</v>
          </cell>
        </row>
        <row r="57">
          <cell r="A57" t="str">
            <v>CBR LIXHE</v>
          </cell>
          <cell r="B57" t="str">
            <v>81081-N01</v>
          </cell>
          <cell r="C57" t="str">
            <v>81081</v>
          </cell>
          <cell r="D57" t="str">
            <v>Industrial Client</v>
          </cell>
          <cell r="E57" t="str">
            <v>rue des Trois Fermes</v>
          </cell>
          <cell r="F57" t="str">
            <v>z/n</v>
          </cell>
          <cell r="G57">
            <v>4600</v>
          </cell>
          <cell r="H57" t="str">
            <v>VISE</v>
          </cell>
          <cell r="I57" t="str">
            <v>CBR LIXHE</v>
          </cell>
          <cell r="J57" t="str">
            <v>004775</v>
          </cell>
          <cell r="K57" t="str">
            <v>End User Domestic Exit Point IC</v>
          </cell>
          <cell r="L57" t="str">
            <v>H-Zone</v>
          </cell>
          <cell r="M57">
            <v>1</v>
          </cell>
          <cell r="N57">
            <v>0</v>
          </cell>
          <cell r="O57">
            <v>0</v>
          </cell>
          <cell r="Q57">
            <v>0</v>
          </cell>
          <cell r="S57" t="str">
            <v>22ZFL004775----S</v>
          </cell>
        </row>
        <row r="58">
          <cell r="A58" t="str">
            <v>CELANESE ACETATE</v>
          </cell>
          <cell r="B58" t="str">
            <v>15231-N01</v>
          </cell>
          <cell r="C58" t="str">
            <v>15231</v>
          </cell>
          <cell r="D58" t="str">
            <v>Industrial Client</v>
          </cell>
          <cell r="E58" t="str">
            <v>Industrieweg</v>
          </cell>
          <cell r="F58">
            <v>80</v>
          </cell>
          <cell r="G58">
            <v>3620</v>
          </cell>
          <cell r="H58" t="str">
            <v>LANAKEN</v>
          </cell>
          <cell r="I58" t="str">
            <v>CELANESE ACETATE</v>
          </cell>
          <cell r="J58" t="str">
            <v>004706</v>
          </cell>
          <cell r="K58" t="str">
            <v>End User Domestic Exit Point IC</v>
          </cell>
          <cell r="L58" t="str">
            <v>H-Zone</v>
          </cell>
          <cell r="M58">
            <v>1</v>
          </cell>
          <cell r="N58">
            <v>0</v>
          </cell>
          <cell r="O58">
            <v>0</v>
          </cell>
          <cell r="Q58">
            <v>0</v>
          </cell>
          <cell r="S58" t="str">
            <v>22ZFL004706----Y</v>
          </cell>
        </row>
        <row r="59">
          <cell r="A59" t="str">
            <v>CHEMVIRON S.A.</v>
          </cell>
          <cell r="B59" t="str">
            <v>61327-N01</v>
          </cell>
          <cell r="C59" t="str">
            <v>61327</v>
          </cell>
          <cell r="D59" t="str">
            <v>Industrial Client</v>
          </cell>
          <cell r="E59" t="str">
            <v>Zoning Industriel - Zone C</v>
          </cell>
          <cell r="F59" t="str">
            <v>z/n</v>
          </cell>
          <cell r="G59">
            <v>7181</v>
          </cell>
          <cell r="H59" t="str">
            <v>FELUY</v>
          </cell>
          <cell r="I59" t="str">
            <v>CHEMVIRON S.A.</v>
          </cell>
          <cell r="J59" t="str">
            <v>004760</v>
          </cell>
          <cell r="K59" t="str">
            <v>End User Domestic Exit Point IC</v>
          </cell>
          <cell r="L59" t="str">
            <v>H-Zone</v>
          </cell>
          <cell r="M59">
            <v>1</v>
          </cell>
          <cell r="N59">
            <v>0</v>
          </cell>
          <cell r="O59">
            <v>0</v>
          </cell>
          <cell r="Q59">
            <v>0</v>
          </cell>
          <cell r="S59" t="str">
            <v>22ZFL004760----S</v>
          </cell>
        </row>
        <row r="60">
          <cell r="A60" t="str">
            <v>CHEVRON PHILLIPS CHEM. INT. N.V. BERINGEN</v>
          </cell>
          <cell r="B60" t="str">
            <v>11517-N01</v>
          </cell>
          <cell r="C60" t="str">
            <v>11517</v>
          </cell>
          <cell r="D60" t="str">
            <v>Industrial Client</v>
          </cell>
          <cell r="E60" t="str">
            <v>Industrieweg</v>
          </cell>
          <cell r="F60">
            <v>154</v>
          </cell>
          <cell r="G60">
            <v>3583</v>
          </cell>
          <cell r="H60" t="str">
            <v>BERINGEN</v>
          </cell>
          <cell r="I60" t="str">
            <v>CHEVRON PHILLIPS CHEM. INT. N.V. BERINGE</v>
          </cell>
          <cell r="J60" t="str">
            <v>115170</v>
          </cell>
          <cell r="K60" t="str">
            <v>End User Domestic Exit Point IC</v>
          </cell>
          <cell r="L60" t="str">
            <v>H-Zone</v>
          </cell>
          <cell r="M60">
            <v>1</v>
          </cell>
          <cell r="N60">
            <v>0</v>
          </cell>
          <cell r="O60">
            <v>0</v>
          </cell>
          <cell r="Q60">
            <v>0</v>
          </cell>
          <cell r="S60" t="str">
            <v>22ZFL115170----2</v>
          </cell>
          <cell r="T60" t="str">
            <v>01/09/2015 - Done</v>
          </cell>
        </row>
        <row r="61">
          <cell r="A61" t="str">
            <v>CHEVRON PHILLIPS CHEM. INT. TESSENDERLO</v>
          </cell>
          <cell r="B61" t="str">
            <v>12075-N01</v>
          </cell>
          <cell r="C61" t="str">
            <v>12075</v>
          </cell>
          <cell r="D61" t="str">
            <v>Industrial Client</v>
          </cell>
          <cell r="E61" t="str">
            <v>Fabrieksstraat</v>
          </cell>
          <cell r="F61">
            <v>5</v>
          </cell>
          <cell r="G61">
            <v>3980</v>
          </cell>
          <cell r="H61" t="str">
            <v>TESSENDERLO</v>
          </cell>
          <cell r="I61" t="str">
            <v>CHEVRON PHILLIPS CHEM. INT. TESSENDERLO</v>
          </cell>
          <cell r="J61" t="str">
            <v>004699</v>
          </cell>
          <cell r="K61" t="str">
            <v>End User Domestic Exit Point IC</v>
          </cell>
          <cell r="L61" t="str">
            <v>L-Zone</v>
          </cell>
          <cell r="M61">
            <v>1</v>
          </cell>
          <cell r="N61">
            <v>0</v>
          </cell>
          <cell r="O61">
            <v>0</v>
          </cell>
          <cell r="Q61">
            <v>0</v>
          </cell>
          <cell r="S61" t="str">
            <v>22ZFL004699----Z</v>
          </cell>
        </row>
        <row r="62">
          <cell r="A62" t="str">
            <v>CHEVRONTEXACO BLENDING PLANT</v>
          </cell>
          <cell r="B62" t="str">
            <v>42485-N02</v>
          </cell>
          <cell r="C62" t="str">
            <v>49605</v>
          </cell>
          <cell r="D62" t="str">
            <v>Industrial Client</v>
          </cell>
          <cell r="E62" t="str">
            <v>Ringvaartweg</v>
          </cell>
          <cell r="F62">
            <v>4</v>
          </cell>
          <cell r="G62">
            <v>9032</v>
          </cell>
          <cell r="H62" t="str">
            <v>WONDELGEM</v>
          </cell>
          <cell r="I62" t="str">
            <v>CHEVRONTEXACO GHENT BLENDING PLANT</v>
          </cell>
          <cell r="J62" t="str">
            <v>424850</v>
          </cell>
          <cell r="K62" t="str">
            <v>End User Domestic Exit Point IC</v>
          </cell>
          <cell r="L62" t="str">
            <v>H-Zone</v>
          </cell>
          <cell r="M62">
            <v>1</v>
          </cell>
          <cell r="N62">
            <v>0</v>
          </cell>
          <cell r="O62">
            <v>0</v>
          </cell>
          <cell r="Q62">
            <v>1</v>
          </cell>
          <cell r="S62" t="str">
            <v>22ZFL424850----0</v>
          </cell>
        </row>
        <row r="63">
          <cell r="A63" t="str">
            <v>CHIYODA GENK</v>
          </cell>
          <cell r="B63" t="str">
            <v>13071-N01</v>
          </cell>
          <cell r="C63" t="str">
            <v>13071</v>
          </cell>
          <cell r="D63" t="str">
            <v>Industrial Client</v>
          </cell>
          <cell r="E63" t="str">
            <v>Henry Fordlaan</v>
          </cell>
          <cell r="F63">
            <v>9</v>
          </cell>
          <cell r="G63">
            <v>3600</v>
          </cell>
          <cell r="H63" t="str">
            <v>GENK</v>
          </cell>
          <cell r="I63" t="str">
            <v>CHIYODA GENK</v>
          </cell>
          <cell r="J63" t="str">
            <v>005612</v>
          </cell>
          <cell r="K63" t="str">
            <v>End User Domestic Exit Point IC</v>
          </cell>
          <cell r="L63" t="str">
            <v>H-Zone</v>
          </cell>
          <cell r="M63">
            <v>1</v>
          </cell>
          <cell r="N63">
            <v>1</v>
          </cell>
          <cell r="O63">
            <v>0</v>
          </cell>
          <cell r="Q63">
            <v>0</v>
          </cell>
          <cell r="S63" t="str">
            <v>22ZFL005612----D</v>
          </cell>
        </row>
        <row r="64">
          <cell r="A64" t="str">
            <v>CITRIQUE BELGE TIENEN</v>
          </cell>
          <cell r="B64" t="str">
            <v>31153-N01</v>
          </cell>
          <cell r="C64" t="str">
            <v>31153</v>
          </cell>
          <cell r="D64" t="str">
            <v>Industrial Client</v>
          </cell>
          <cell r="E64" t="str">
            <v>Pastorijstraat</v>
          </cell>
          <cell r="F64">
            <v>249</v>
          </cell>
          <cell r="G64">
            <v>3300</v>
          </cell>
          <cell r="H64" t="str">
            <v>TIENEN</v>
          </cell>
          <cell r="I64" t="str">
            <v>CITRIQUE BELGE TIENEN</v>
          </cell>
          <cell r="J64" t="str">
            <v>004725</v>
          </cell>
          <cell r="K64" t="str">
            <v>End User Domestic Exit Point IC</v>
          </cell>
          <cell r="L64" t="str">
            <v>L-Zone</v>
          </cell>
          <cell r="M64">
            <v>1</v>
          </cell>
          <cell r="N64">
            <v>1</v>
          </cell>
          <cell r="O64">
            <v>0</v>
          </cell>
          <cell r="Q64">
            <v>1</v>
          </cell>
          <cell r="S64" t="str">
            <v>22ZFL004725----Q</v>
          </cell>
        </row>
        <row r="65">
          <cell r="A65" t="str">
            <v>CMI DEFENCE SA AUBANGE</v>
          </cell>
          <cell r="B65" t="str">
            <v>87553-N01</v>
          </cell>
          <cell r="C65" t="str">
            <v>87553</v>
          </cell>
          <cell r="D65" t="str">
            <v>Industrial Client</v>
          </cell>
          <cell r="E65" t="str">
            <v>Avenue Champion (Zoning Industriel)</v>
          </cell>
          <cell r="F65">
            <v>15</v>
          </cell>
          <cell r="G65">
            <v>6790</v>
          </cell>
          <cell r="H65" t="str">
            <v>AUBANGE</v>
          </cell>
          <cell r="I65" t="str">
            <v>CMI DEFENCE SA AUBANGE</v>
          </cell>
          <cell r="J65" t="str">
            <v>875530</v>
          </cell>
          <cell r="K65" t="str">
            <v>End User Domestic Exit Point IC</v>
          </cell>
          <cell r="L65" t="str">
            <v>H-Zone</v>
          </cell>
          <cell r="M65">
            <v>1</v>
          </cell>
          <cell r="N65">
            <v>0</v>
          </cell>
          <cell r="O65">
            <v>0</v>
          </cell>
          <cell r="Q65">
            <v>0</v>
          </cell>
          <cell r="S65" t="str">
            <v>22ZFL875530----9</v>
          </cell>
        </row>
        <row r="66">
          <cell r="A66" t="str">
            <v>CNH INDUSTRIAL ANTWERPEN</v>
          </cell>
          <cell r="B66" t="str">
            <v>21105-N01</v>
          </cell>
          <cell r="C66" t="str">
            <v>21105</v>
          </cell>
          <cell r="D66" t="str">
            <v>Industrial Client</v>
          </cell>
          <cell r="E66" t="str">
            <v>Wilmansdonksteenweg</v>
          </cell>
          <cell r="F66">
            <v>32</v>
          </cell>
          <cell r="G66">
            <v>2030</v>
          </cell>
          <cell r="H66" t="str">
            <v>ANTWERPEN 3</v>
          </cell>
          <cell r="I66" t="str">
            <v>CNH INDUSTRIAL ANTWERPEN</v>
          </cell>
          <cell r="J66" t="str">
            <v>005017</v>
          </cell>
          <cell r="K66" t="str">
            <v>End User Domestic Exit Point IC</v>
          </cell>
          <cell r="L66" t="str">
            <v>L-Zone</v>
          </cell>
          <cell r="M66">
            <v>1</v>
          </cell>
          <cell r="N66">
            <v>0</v>
          </cell>
          <cell r="O66">
            <v>0</v>
          </cell>
          <cell r="Q66">
            <v>0</v>
          </cell>
          <cell r="S66" t="str">
            <v>22ZFL005017----V</v>
          </cell>
        </row>
        <row r="67">
          <cell r="A67" t="str">
            <v>COCA-COLA ENTERPRISES BELGIUM GENT</v>
          </cell>
          <cell r="B67" t="str">
            <v>42187-N01</v>
          </cell>
          <cell r="C67" t="str">
            <v>42187</v>
          </cell>
          <cell r="D67" t="str">
            <v>Industrial Client</v>
          </cell>
          <cell r="E67" t="str">
            <v>Zwijnaardsesteenweg</v>
          </cell>
          <cell r="F67">
            <v>811</v>
          </cell>
          <cell r="G67">
            <v>9000</v>
          </cell>
          <cell r="H67" t="str">
            <v>GENT</v>
          </cell>
          <cell r="I67" t="str">
            <v>COCA-COLA ENTERPRISES BELGIUM GENT</v>
          </cell>
          <cell r="J67" t="str">
            <v>421870</v>
          </cell>
          <cell r="K67" t="str">
            <v>End User Domestic Exit Point IC</v>
          </cell>
          <cell r="L67" t="str">
            <v>H-Zone</v>
          </cell>
          <cell r="M67">
            <v>1</v>
          </cell>
          <cell r="N67">
            <v>1</v>
          </cell>
          <cell r="O67">
            <v>0</v>
          </cell>
          <cell r="Q67">
            <v>1</v>
          </cell>
          <cell r="S67" t="str">
            <v>22ZFL421870----D</v>
          </cell>
        </row>
        <row r="68">
          <cell r="A68" t="str">
            <v>CRI CATALYST COMPANY BELGIUM</v>
          </cell>
          <cell r="B68" t="str">
            <v>42485-N01</v>
          </cell>
          <cell r="C68" t="str">
            <v>42485</v>
          </cell>
          <cell r="D68" t="str">
            <v>Industrial Client</v>
          </cell>
          <cell r="E68" t="str">
            <v>Ringvaartweg-Wondelgem</v>
          </cell>
          <cell r="F68">
            <v>4</v>
          </cell>
          <cell r="G68">
            <v>9032</v>
          </cell>
          <cell r="H68" t="str">
            <v>WONDELGEM</v>
          </cell>
          <cell r="I68" t="str">
            <v>CRI CATALYST COMPANY BELGIUM</v>
          </cell>
          <cell r="J68" t="str">
            <v>006145</v>
          </cell>
          <cell r="K68" t="str">
            <v>End User Domestic Exit Point IC</v>
          </cell>
          <cell r="L68" t="str">
            <v>H-Zone</v>
          </cell>
          <cell r="M68">
            <v>1</v>
          </cell>
          <cell r="N68">
            <v>0</v>
          </cell>
          <cell r="O68">
            <v>0</v>
          </cell>
          <cell r="Q68">
            <v>1</v>
          </cell>
          <cell r="S68" t="str">
            <v>22ZFL006145----5</v>
          </cell>
        </row>
        <row r="69">
          <cell r="A69" t="str">
            <v>DAF VLAANDEREN OEVEL</v>
          </cell>
          <cell r="B69" t="str">
            <v>18071-N01</v>
          </cell>
          <cell r="C69" t="str">
            <v>18071</v>
          </cell>
          <cell r="D69" t="str">
            <v>Industrial Client</v>
          </cell>
          <cell r="E69" t="str">
            <v>Van Doornelaan</v>
          </cell>
          <cell r="F69">
            <v>1</v>
          </cell>
          <cell r="G69">
            <v>2260</v>
          </cell>
          <cell r="H69" t="str">
            <v>WESTERLO</v>
          </cell>
          <cell r="I69" t="str">
            <v>DAF VLAANDEREN OEVEL</v>
          </cell>
          <cell r="J69" t="str">
            <v>180710</v>
          </cell>
          <cell r="K69" t="str">
            <v>End User Domestic Exit Point IC</v>
          </cell>
          <cell r="L69" t="str">
            <v>H-Zone</v>
          </cell>
          <cell r="M69">
            <v>1</v>
          </cell>
          <cell r="N69">
            <v>0</v>
          </cell>
          <cell r="O69">
            <v>0</v>
          </cell>
          <cell r="Q69">
            <v>0</v>
          </cell>
          <cell r="S69" t="str">
            <v>22ZFL180710----8</v>
          </cell>
          <cell r="T69" t="str">
            <v>01/09/2015 - Done</v>
          </cell>
        </row>
        <row r="70">
          <cell r="A70" t="str">
            <v>DICALITE EUROPE NORD GENT</v>
          </cell>
          <cell r="B70" t="str">
            <v>42539-N01</v>
          </cell>
          <cell r="C70" t="str">
            <v>42539</v>
          </cell>
          <cell r="D70" t="str">
            <v>Industrial Client</v>
          </cell>
          <cell r="E70" t="str">
            <v>Scheepzatestraat</v>
          </cell>
          <cell r="F70">
            <v>100</v>
          </cell>
          <cell r="G70">
            <v>9000</v>
          </cell>
          <cell r="H70" t="str">
            <v>GENT</v>
          </cell>
          <cell r="I70" t="str">
            <v>DICALITE EUROPE NORD GENT</v>
          </cell>
          <cell r="J70" t="str">
            <v>005016</v>
          </cell>
          <cell r="K70" t="str">
            <v>End User Domestic Exit Point IC</v>
          </cell>
          <cell r="L70" t="str">
            <v>H-Zone</v>
          </cell>
          <cell r="M70">
            <v>1</v>
          </cell>
          <cell r="N70">
            <v>1</v>
          </cell>
          <cell r="O70">
            <v>0</v>
          </cell>
          <cell r="Q70">
            <v>1</v>
          </cell>
          <cell r="S70" t="str">
            <v>22ZFL005016----0</v>
          </cell>
        </row>
        <row r="71">
          <cell r="A71" t="str">
            <v>DOUWE EGBERTS RETAIL BELGIUM GRIMBERGEN</v>
          </cell>
          <cell r="B71" t="str">
            <v>30135-N01</v>
          </cell>
          <cell r="C71" t="str">
            <v>30135</v>
          </cell>
          <cell r="D71" t="str">
            <v>Industrial Client</v>
          </cell>
          <cell r="E71" t="str">
            <v>Antwerpselaan</v>
          </cell>
          <cell r="F71" t="str">
            <v>z/n</v>
          </cell>
          <cell r="G71">
            <v>1850</v>
          </cell>
          <cell r="H71" t="str">
            <v>GRIMBERGEN</v>
          </cell>
          <cell r="I71" t="str">
            <v>DOUWE EGBERTS RETAIL BELGIUM GRIMBERGEN</v>
          </cell>
          <cell r="J71" t="str">
            <v>301350</v>
          </cell>
          <cell r="K71" t="str">
            <v>End User Domestic Exit Point IC</v>
          </cell>
          <cell r="L71" t="str">
            <v>L-Zone</v>
          </cell>
          <cell r="M71">
            <v>1</v>
          </cell>
          <cell r="N71">
            <v>0</v>
          </cell>
          <cell r="O71">
            <v>0</v>
          </cell>
          <cell r="Q71">
            <v>0</v>
          </cell>
          <cell r="S71" t="str">
            <v>22ZFL301350----O</v>
          </cell>
        </row>
        <row r="72">
          <cell r="A72" t="str">
            <v>DUMONT WAUTIER HERMALLE-SOUS-HUY</v>
          </cell>
          <cell r="B72" t="str">
            <v>86321-N01</v>
          </cell>
          <cell r="C72" t="str">
            <v>86321</v>
          </cell>
          <cell r="D72" t="str">
            <v>Industrial Client</v>
          </cell>
          <cell r="E72" t="str">
            <v>rue Surface</v>
          </cell>
          <cell r="F72" t="str">
            <v>z/n</v>
          </cell>
          <cell r="G72">
            <v>4480</v>
          </cell>
          <cell r="H72" t="str">
            <v>ENGIS</v>
          </cell>
          <cell r="I72" t="str">
            <v>DUMONT-WAUTIER HERMALLE-SOUS-HUY</v>
          </cell>
          <cell r="J72" t="str">
            <v>004781</v>
          </cell>
          <cell r="K72" t="str">
            <v>End User Domestic Exit Point IC</v>
          </cell>
          <cell r="L72" t="str">
            <v>H-Zone</v>
          </cell>
          <cell r="M72">
            <v>1</v>
          </cell>
          <cell r="N72">
            <v>0</v>
          </cell>
          <cell r="O72">
            <v>0</v>
          </cell>
          <cell r="Q72">
            <v>0</v>
          </cell>
          <cell r="S72" t="str">
            <v>22ZFL004781----8</v>
          </cell>
        </row>
        <row r="73">
          <cell r="A73" t="str">
            <v>DUROBOR GLASSWARE SOIGNIES</v>
          </cell>
          <cell r="B73" t="str">
            <v>34465-N01</v>
          </cell>
          <cell r="C73" t="str">
            <v>34465</v>
          </cell>
          <cell r="D73" t="str">
            <v>Industrial Client</v>
          </cell>
          <cell r="E73" t="str">
            <v>Rue Mademoiselle Hanicq</v>
          </cell>
          <cell r="F73">
            <v>39</v>
          </cell>
          <cell r="G73">
            <v>7060</v>
          </cell>
          <cell r="H73" t="str">
            <v>SOIGNIES</v>
          </cell>
          <cell r="I73" t="str">
            <v>DUROBOR GLASSWARE SOIGNIES</v>
          </cell>
          <cell r="J73" t="str">
            <v>004734</v>
          </cell>
          <cell r="K73" t="str">
            <v>End User Domestic Exit Point IC</v>
          </cell>
          <cell r="L73" t="str">
            <v>L-Zone</v>
          </cell>
          <cell r="M73">
            <v>1</v>
          </cell>
          <cell r="N73">
            <v>1</v>
          </cell>
          <cell r="O73">
            <v>0</v>
          </cell>
          <cell r="Q73">
            <v>1</v>
          </cell>
          <cell r="S73" t="str">
            <v>22ZFL004734----P</v>
          </cell>
        </row>
        <row r="74">
          <cell r="A74" t="str">
            <v>ECOPOWER HAM</v>
          </cell>
          <cell r="B74" t="str">
            <v>12097-N01</v>
          </cell>
          <cell r="C74" t="str">
            <v>12097</v>
          </cell>
          <cell r="D74" t="str">
            <v>Industrial Client</v>
          </cell>
          <cell r="E74" t="str">
            <v>Posthoflei</v>
          </cell>
          <cell r="F74" t="str">
            <v>3 bus 3</v>
          </cell>
          <cell r="G74">
            <v>2600</v>
          </cell>
          <cell r="H74" t="str">
            <v>BERCHEM</v>
          </cell>
          <cell r="I74" t="str">
            <v>ECOPOWER HAM</v>
          </cell>
          <cell r="J74" t="str">
            <v>007298</v>
          </cell>
          <cell r="K74" t="str">
            <v>End User Domestic Exit Point IC</v>
          </cell>
          <cell r="L74" t="str">
            <v>H-Zone</v>
          </cell>
          <cell r="M74">
            <v>1</v>
          </cell>
          <cell r="N74">
            <v>0</v>
          </cell>
          <cell r="O74">
            <v>0</v>
          </cell>
          <cell r="Q74">
            <v>0</v>
          </cell>
          <cell r="S74" t="str">
            <v>57ZFL007298----Y</v>
          </cell>
        </row>
        <row r="75">
          <cell r="A75" t="str">
            <v>ERACHEM COMILOG HAUTRAGE</v>
          </cell>
          <cell r="B75" t="str">
            <v>44517-N01</v>
          </cell>
          <cell r="C75" t="str">
            <v>44517</v>
          </cell>
          <cell r="D75" t="str">
            <v>Industrial Client</v>
          </cell>
          <cell r="E75" t="str">
            <v>Rue Carbo</v>
          </cell>
          <cell r="F75">
            <v>9</v>
          </cell>
          <cell r="G75">
            <v>7333</v>
          </cell>
          <cell r="H75" t="str">
            <v>TERTRE</v>
          </cell>
          <cell r="I75" t="str">
            <v>ERACHEM COMILOG HAUTRAGE</v>
          </cell>
          <cell r="J75" t="str">
            <v>004749</v>
          </cell>
          <cell r="K75" t="str">
            <v>End User Domestic Exit Point IC</v>
          </cell>
          <cell r="L75" t="str">
            <v>H-Zone</v>
          </cell>
          <cell r="M75">
            <v>1</v>
          </cell>
          <cell r="N75">
            <v>1</v>
          </cell>
          <cell r="O75">
            <v>0</v>
          </cell>
          <cell r="Q75">
            <v>1</v>
          </cell>
          <cell r="S75" t="str">
            <v>22ZFL004749----P</v>
          </cell>
        </row>
        <row r="76">
          <cell r="A76" t="str">
            <v>ESSITY BELGIUM STEMBERT</v>
          </cell>
          <cell r="B76" t="str">
            <v>81643-N01</v>
          </cell>
          <cell r="C76" t="str">
            <v>81643</v>
          </cell>
          <cell r="D76" t="str">
            <v>Industrial Client</v>
          </cell>
          <cell r="E76" t="str">
            <v>Rue de la Papeterie</v>
          </cell>
          <cell r="F76">
            <v>2</v>
          </cell>
          <cell r="G76">
            <v>4801</v>
          </cell>
          <cell r="H76" t="str">
            <v>STEMBERT</v>
          </cell>
          <cell r="I76" t="str">
            <v>ESSITY BELGIUM STEMBERT</v>
          </cell>
          <cell r="J76" t="str">
            <v>004777</v>
          </cell>
          <cell r="K76" t="str">
            <v>End User Domestic Exit Point IC</v>
          </cell>
          <cell r="L76" t="str">
            <v>H-Zone</v>
          </cell>
          <cell r="M76">
            <v>1</v>
          </cell>
          <cell r="N76">
            <v>1</v>
          </cell>
          <cell r="O76">
            <v>0</v>
          </cell>
          <cell r="Q76">
            <v>1</v>
          </cell>
          <cell r="S76" t="str">
            <v>22ZFL004777----G</v>
          </cell>
        </row>
        <row r="77">
          <cell r="A77" t="str">
            <v>ETERNIT KAPELLE O/D BOS</v>
          </cell>
          <cell r="B77" t="str">
            <v>32521-N01</v>
          </cell>
          <cell r="C77" t="str">
            <v>32521</v>
          </cell>
          <cell r="D77" t="str">
            <v>Industrial Client</v>
          </cell>
          <cell r="E77" t="str">
            <v>Huttekensstraat</v>
          </cell>
          <cell r="F77">
            <v>31</v>
          </cell>
          <cell r="G77">
            <v>1880</v>
          </cell>
          <cell r="H77" t="str">
            <v>KAPELLE-OP-DEN-BOS</v>
          </cell>
          <cell r="I77" t="str">
            <v>ETERNIT KAPELLE O/D BOS</v>
          </cell>
          <cell r="J77" t="str">
            <v>004728</v>
          </cell>
          <cell r="K77" t="str">
            <v>End User Domestic Exit Point IC</v>
          </cell>
          <cell r="L77" t="str">
            <v>L-Zone</v>
          </cell>
          <cell r="M77">
            <v>1</v>
          </cell>
          <cell r="N77">
            <v>0</v>
          </cell>
          <cell r="O77">
            <v>0</v>
          </cell>
          <cell r="Q77">
            <v>0</v>
          </cell>
          <cell r="S77" t="str">
            <v>22ZFL004728----8</v>
          </cell>
        </row>
        <row r="78">
          <cell r="A78" t="str">
            <v>EVERZINC BELGIUM ANGLEUR</v>
          </cell>
          <cell r="B78" t="str">
            <v>83657-N01</v>
          </cell>
          <cell r="C78" t="str">
            <v>83657</v>
          </cell>
          <cell r="D78" t="str">
            <v>Industrial Client</v>
          </cell>
          <cell r="E78" t="str">
            <v>Rue de chenée</v>
          </cell>
          <cell r="F78">
            <v>53</v>
          </cell>
          <cell r="G78">
            <v>4031</v>
          </cell>
          <cell r="H78" t="str">
            <v>ANGLEUR</v>
          </cell>
          <cell r="I78" t="str">
            <v>EVERZINC BELGIUM ANGLEUR</v>
          </cell>
          <cell r="J78" t="str">
            <v>836570</v>
          </cell>
          <cell r="K78" t="str">
            <v>End User Domestic Exit Point IC</v>
          </cell>
          <cell r="L78" t="str">
            <v>H-Zone</v>
          </cell>
          <cell r="M78">
            <v>1</v>
          </cell>
          <cell r="N78">
            <v>1</v>
          </cell>
          <cell r="O78">
            <v>0</v>
          </cell>
          <cell r="Q78">
            <v>1</v>
          </cell>
          <cell r="S78" t="str">
            <v>22ZFL836570----C</v>
          </cell>
        </row>
        <row r="79">
          <cell r="A79" t="str">
            <v>EVONIK ANTWERPEN (80 BAR)</v>
          </cell>
          <cell r="B79" t="str">
            <v>21561-N01</v>
          </cell>
          <cell r="C79" t="str">
            <v>21561</v>
          </cell>
          <cell r="D79" t="str">
            <v>Industrial Client</v>
          </cell>
          <cell r="E79" t="str">
            <v>Tijsmanstunnel West</v>
          </cell>
          <cell r="F79" t="str">
            <v>z/n</v>
          </cell>
          <cell r="G79">
            <v>2040</v>
          </cell>
          <cell r="H79" t="str">
            <v>ANTWERPEN</v>
          </cell>
          <cell r="I79" t="str">
            <v>EVONIK ANTWERPEN (80 barg)</v>
          </cell>
          <cell r="J79" t="str">
            <v>004718</v>
          </cell>
          <cell r="K79" t="str">
            <v>End User Domestic Exit Point IC</v>
          </cell>
          <cell r="L79" t="str">
            <v>H-Zone</v>
          </cell>
          <cell r="M79">
            <v>1</v>
          </cell>
          <cell r="N79">
            <v>0</v>
          </cell>
          <cell r="O79">
            <v>0</v>
          </cell>
          <cell r="Q79">
            <v>0</v>
          </cell>
          <cell r="S79" t="str">
            <v>22ZFL004718----F</v>
          </cell>
        </row>
        <row r="80">
          <cell r="A80" t="str">
            <v>EXXONMOBIL CHEM. BELG. APP</v>
          </cell>
          <cell r="B80" t="str">
            <v>21325-N01</v>
          </cell>
          <cell r="C80" t="str">
            <v>21325</v>
          </cell>
          <cell r="D80" t="str">
            <v>Industrial Client</v>
          </cell>
          <cell r="E80" t="str">
            <v>Haven 1007 - Canadastraat</v>
          </cell>
          <cell r="F80">
            <v>20</v>
          </cell>
          <cell r="G80">
            <v>2070</v>
          </cell>
          <cell r="H80" t="str">
            <v>ZWIJNDRECHT</v>
          </cell>
          <cell r="I80" t="str">
            <v>EXXONMOBIL CHEM. BELG. APP</v>
          </cell>
          <cell r="J80" t="str">
            <v>004716</v>
          </cell>
          <cell r="K80" t="str">
            <v>End User Domestic Exit Point IC</v>
          </cell>
          <cell r="L80" t="str">
            <v>H-Zone</v>
          </cell>
          <cell r="M80">
            <v>1</v>
          </cell>
          <cell r="N80">
            <v>0</v>
          </cell>
          <cell r="O80">
            <v>0</v>
          </cell>
          <cell r="Q80">
            <v>0</v>
          </cell>
          <cell r="S80" t="str">
            <v>22ZFL004716----R</v>
          </cell>
        </row>
        <row r="81">
          <cell r="A81" t="str">
            <v>EXXONMOBIL CHEM. BELG. MPP</v>
          </cell>
          <cell r="B81" t="str">
            <v>12121-N01</v>
          </cell>
          <cell r="C81" t="str">
            <v>12121</v>
          </cell>
          <cell r="D81" t="str">
            <v>Industrial Client</v>
          </cell>
          <cell r="E81" t="str">
            <v>Biezenhoed</v>
          </cell>
          <cell r="F81">
            <v>2</v>
          </cell>
          <cell r="G81">
            <v>2450</v>
          </cell>
          <cell r="H81" t="str">
            <v>MEERHOUT</v>
          </cell>
          <cell r="I81" t="str">
            <v>EXXONMOBIL CHEM. BELG. MPP</v>
          </cell>
          <cell r="J81" t="str">
            <v>004701</v>
          </cell>
          <cell r="K81" t="str">
            <v>End User Domestic Exit Point IC</v>
          </cell>
          <cell r="L81" t="str">
            <v>H-Zone</v>
          </cell>
          <cell r="M81">
            <v>1</v>
          </cell>
          <cell r="N81">
            <v>0</v>
          </cell>
          <cell r="O81">
            <v>0</v>
          </cell>
          <cell r="Q81">
            <v>0</v>
          </cell>
          <cell r="S81" t="str">
            <v>22ZFL004701----R</v>
          </cell>
          <cell r="T81" t="str">
            <v>01/09/2015 - Done</v>
          </cell>
        </row>
        <row r="82">
          <cell r="A82" t="str">
            <v>EXXONMOBIL PETR. &amp; CHEM. BVBA ANTWERPEN</v>
          </cell>
          <cell r="B82" t="str">
            <v>22363-N01</v>
          </cell>
          <cell r="C82" t="str">
            <v>22363</v>
          </cell>
          <cell r="D82" t="str">
            <v>Industrial Client</v>
          </cell>
          <cell r="E82" t="str">
            <v>Scheldelaan - haven 447</v>
          </cell>
          <cell r="F82">
            <v>8</v>
          </cell>
          <cell r="G82">
            <v>2030</v>
          </cell>
          <cell r="H82" t="str">
            <v xml:space="preserve">ANTWERPEN </v>
          </cell>
          <cell r="I82" t="str">
            <v>EXXONMOBIL PETR. &amp; CHEM. BVBA ANTWERPEN</v>
          </cell>
          <cell r="J82" t="str">
            <v>005921</v>
          </cell>
          <cell r="K82" t="str">
            <v>End User Domestic Exit Point PP</v>
          </cell>
          <cell r="L82" t="str">
            <v>H-Zone</v>
          </cell>
          <cell r="M82">
            <v>1</v>
          </cell>
          <cell r="N82">
            <v>0</v>
          </cell>
          <cell r="O82">
            <v>0</v>
          </cell>
          <cell r="Q82">
            <v>0</v>
          </cell>
          <cell r="S82" t="str">
            <v>22ZFL005921----P</v>
          </cell>
        </row>
        <row r="83">
          <cell r="A83" t="str">
            <v>FABRIQUE NATIONALE HERSTAL</v>
          </cell>
          <cell r="B83" t="str">
            <v>83321-N01</v>
          </cell>
          <cell r="C83" t="str">
            <v>83321</v>
          </cell>
          <cell r="D83" t="str">
            <v>Industrial Client</v>
          </cell>
          <cell r="E83" t="str">
            <v>Rue Voie de Liège</v>
          </cell>
          <cell r="F83">
            <v>33</v>
          </cell>
          <cell r="G83">
            <v>4040</v>
          </cell>
          <cell r="H83" t="str">
            <v>HERSTAL</v>
          </cell>
          <cell r="I83" t="str">
            <v>FABRIQUE NATIONALE HERSTAL</v>
          </cell>
          <cell r="J83" t="str">
            <v>833210</v>
          </cell>
          <cell r="K83" t="str">
            <v>End User Domestic Exit Point IC</v>
          </cell>
          <cell r="L83" t="str">
            <v>H-Zone</v>
          </cell>
          <cell r="M83">
            <v>1</v>
          </cell>
          <cell r="N83">
            <v>1</v>
          </cell>
          <cell r="O83">
            <v>0</v>
          </cell>
          <cell r="Q83">
            <v>1</v>
          </cell>
          <cell r="S83" t="str">
            <v>22ZFL833210----V</v>
          </cell>
        </row>
        <row r="84">
          <cell r="A84" t="str">
            <v>FARM FRITES LOMMEL</v>
          </cell>
          <cell r="B84" t="str">
            <v>11031-N01</v>
          </cell>
          <cell r="C84" t="str">
            <v>11031</v>
          </cell>
          <cell r="D84" t="str">
            <v>Industrial Client</v>
          </cell>
          <cell r="E84" t="str">
            <v>Maatheide</v>
          </cell>
          <cell r="F84" t="str">
            <v>74 bus A</v>
          </cell>
          <cell r="G84">
            <v>3920</v>
          </cell>
          <cell r="H84" t="str">
            <v>LOMMEL</v>
          </cell>
          <cell r="I84" t="str">
            <v>FARM FRITES LOMMEL</v>
          </cell>
          <cell r="J84" t="str">
            <v>007352</v>
          </cell>
          <cell r="K84" t="str">
            <v>End User Domestic Exit Point IC</v>
          </cell>
          <cell r="L84" t="str">
            <v>H-Zone</v>
          </cell>
          <cell r="M84">
            <v>1</v>
          </cell>
          <cell r="N84">
            <v>0</v>
          </cell>
          <cell r="O84">
            <v>0</v>
          </cell>
          <cell r="Q84">
            <v>0</v>
          </cell>
          <cell r="S84" t="str">
            <v>57ZFL007352----G</v>
          </cell>
        </row>
        <row r="85">
          <cell r="A85" t="str">
            <v>FERTIKAL KALLO</v>
          </cell>
          <cell r="B85" t="str">
            <v>42895-N01</v>
          </cell>
          <cell r="C85" t="str">
            <v>42895</v>
          </cell>
          <cell r="D85" t="str">
            <v>Industrial Client</v>
          </cell>
          <cell r="E85" t="str">
            <v>HAVEN 1938 - Molenweg</v>
          </cell>
          <cell r="F85" t="str">
            <v>z/n</v>
          </cell>
          <cell r="G85">
            <v>9130</v>
          </cell>
          <cell r="H85" t="str">
            <v>KALLO</v>
          </cell>
          <cell r="I85" t="str">
            <v>FERTIKAL KALLO</v>
          </cell>
          <cell r="J85" t="str">
            <v>428950</v>
          </cell>
          <cell r="K85" t="str">
            <v>End User Domestic Exit Point IC</v>
          </cell>
          <cell r="L85" t="str">
            <v>H-Zone</v>
          </cell>
          <cell r="M85">
            <v>1</v>
          </cell>
          <cell r="N85">
            <v>0</v>
          </cell>
          <cell r="O85">
            <v>0</v>
          </cell>
          <cell r="Q85">
            <v>0</v>
          </cell>
          <cell r="S85" t="str">
            <v>22ZFL428950----U</v>
          </cell>
        </row>
        <row r="86">
          <cell r="A86" t="str">
            <v>FUJI OIL EUROPE ERTVELDE</v>
          </cell>
          <cell r="B86" t="str">
            <v>42445-N01</v>
          </cell>
          <cell r="C86" t="str">
            <v>42445</v>
          </cell>
          <cell r="D86" t="str">
            <v>Industrial Client</v>
          </cell>
          <cell r="E86" t="str">
            <v>Kuhlmannkaai</v>
          </cell>
          <cell r="F86">
            <v>36</v>
          </cell>
          <cell r="G86">
            <v>9042</v>
          </cell>
          <cell r="H86" t="str">
            <v>GENT</v>
          </cell>
          <cell r="I86" t="str">
            <v>FUJI OIL EUROPE ERTVELDE</v>
          </cell>
          <cell r="J86" t="str">
            <v>005013</v>
          </cell>
          <cell r="K86" t="str">
            <v>End User Domestic Exit Point IC</v>
          </cell>
          <cell r="L86" t="str">
            <v>H-Zone</v>
          </cell>
          <cell r="M86">
            <v>1</v>
          </cell>
          <cell r="N86">
            <v>0</v>
          </cell>
          <cell r="O86">
            <v>0</v>
          </cell>
          <cell r="Q86">
            <v>0</v>
          </cell>
          <cell r="S86" t="str">
            <v>22ZFL005013----I</v>
          </cell>
        </row>
        <row r="87">
          <cell r="A87" t="str">
            <v>GABRIEL TECHNOLOGIE GHLIN</v>
          </cell>
          <cell r="B87" t="str">
            <v>73283-N01</v>
          </cell>
          <cell r="C87" t="str">
            <v>73283</v>
          </cell>
          <cell r="D87" t="str">
            <v>Industrial Client</v>
          </cell>
          <cell r="E87" t="str">
            <v>Rue des Roseaux</v>
          </cell>
          <cell r="F87">
            <v>1</v>
          </cell>
          <cell r="G87">
            <v>7331</v>
          </cell>
          <cell r="H87" t="str">
            <v>BAUDOUR</v>
          </cell>
          <cell r="I87" t="str">
            <v>GABRIEL TECHNOLOGIE GHLIN</v>
          </cell>
          <cell r="J87" t="str">
            <v>732830</v>
          </cell>
          <cell r="K87" t="str">
            <v>End User Domestic Exit Point IC</v>
          </cell>
          <cell r="L87" t="str">
            <v>H-Zone</v>
          </cell>
          <cell r="M87">
            <v>1</v>
          </cell>
          <cell r="N87">
            <v>1</v>
          </cell>
          <cell r="O87">
            <v>0</v>
          </cell>
          <cell r="Q87">
            <v>1</v>
          </cell>
          <cell r="S87" t="str">
            <v>22ZFL732830----Q</v>
          </cell>
        </row>
        <row r="88">
          <cell r="A88" t="str">
            <v>GENENCOR BRUGGE</v>
          </cell>
          <cell r="B88" t="str">
            <v>46331-N01</v>
          </cell>
          <cell r="C88" t="str">
            <v>46331</v>
          </cell>
          <cell r="D88" t="str">
            <v>Industrial Client</v>
          </cell>
          <cell r="E88" t="str">
            <v>Komvest</v>
          </cell>
          <cell r="F88">
            <v>43</v>
          </cell>
          <cell r="G88">
            <v>8000</v>
          </cell>
          <cell r="H88" t="str">
            <v>BRUGGE</v>
          </cell>
          <cell r="I88" t="str">
            <v>GENENCOR BRUGGE</v>
          </cell>
          <cell r="J88" t="str">
            <v>463310</v>
          </cell>
          <cell r="K88" t="str">
            <v>End User Domestic Exit Point IC</v>
          </cell>
          <cell r="L88" t="str">
            <v>H-Zone</v>
          </cell>
          <cell r="M88">
            <v>1</v>
          </cell>
          <cell r="N88">
            <v>1</v>
          </cell>
          <cell r="O88">
            <v>0</v>
          </cell>
          <cell r="Q88">
            <v>1</v>
          </cell>
          <cell r="S88" t="str">
            <v>22ZFL463310----0</v>
          </cell>
        </row>
        <row r="89">
          <cell r="A89" t="str">
            <v>GERRESHEIMER MOMIGNIES</v>
          </cell>
          <cell r="B89" t="str">
            <v>62291-N01</v>
          </cell>
          <cell r="C89" t="str">
            <v>62291</v>
          </cell>
          <cell r="D89" t="str">
            <v>Industrial Client</v>
          </cell>
          <cell r="E89" t="str">
            <v>Rue Mandenne</v>
          </cell>
          <cell r="F89" t="str">
            <v>19/20</v>
          </cell>
          <cell r="G89">
            <v>6590</v>
          </cell>
          <cell r="H89" t="str">
            <v>MOMIGNIES</v>
          </cell>
          <cell r="I89" t="str">
            <v>GERRESHEIMER MOMIGNIES</v>
          </cell>
          <cell r="J89" t="str">
            <v>005251</v>
          </cell>
          <cell r="K89" t="str">
            <v>End User Domestic Exit Point IC</v>
          </cell>
          <cell r="L89" t="str">
            <v>H-Zone</v>
          </cell>
          <cell r="M89">
            <v>0</v>
          </cell>
          <cell r="N89">
            <v>1</v>
          </cell>
          <cell r="O89">
            <v>0</v>
          </cell>
          <cell r="Q89">
            <v>0</v>
          </cell>
          <cell r="S89" t="str">
            <v>22ZFL005251----N</v>
          </cell>
        </row>
        <row r="90">
          <cell r="A90" t="str">
            <v>HOLCIM (BELGIQUE) SA SITE DE OBOURG</v>
          </cell>
          <cell r="B90" t="str">
            <v>01775-N01</v>
          </cell>
          <cell r="C90" t="str">
            <v>1775</v>
          </cell>
          <cell r="D90" t="str">
            <v>Industrial Client</v>
          </cell>
          <cell r="E90" t="str">
            <v>rue des Fabriques</v>
          </cell>
          <cell r="F90">
            <v>2</v>
          </cell>
          <cell r="G90">
            <v>7034</v>
          </cell>
          <cell r="H90" t="str">
            <v>OBOURG</v>
          </cell>
          <cell r="I90" t="str">
            <v>HOLCIM (BELGIQUE) SA SITE DE OBOURG</v>
          </cell>
          <cell r="J90" t="str">
            <v>004693</v>
          </cell>
          <cell r="K90" t="str">
            <v>End User Domestic Exit Point IC</v>
          </cell>
          <cell r="L90" t="str">
            <v>H-Zone</v>
          </cell>
          <cell r="M90">
            <v>1</v>
          </cell>
          <cell r="N90">
            <v>0</v>
          </cell>
          <cell r="O90">
            <v>0</v>
          </cell>
          <cell r="Q90">
            <v>0</v>
          </cell>
          <cell r="S90" t="str">
            <v>22ZFL004693----Y</v>
          </cell>
        </row>
        <row r="91">
          <cell r="A91" t="str">
            <v>HONDA MOTOR EUROPE LOGISTICS NV GENT</v>
          </cell>
          <cell r="B91" t="str">
            <v>42521-N01</v>
          </cell>
          <cell r="C91" t="str">
            <v>42521</v>
          </cell>
          <cell r="D91" t="str">
            <v>Industrial Client</v>
          </cell>
          <cell r="E91" t="str">
            <v>Langerbruggestraat</v>
          </cell>
          <cell r="F91">
            <v>104</v>
          </cell>
          <cell r="G91">
            <v>9000</v>
          </cell>
          <cell r="H91" t="str">
            <v>GENT</v>
          </cell>
          <cell r="I91" t="str">
            <v>HONDA MOTOR EUROPE LOGISTICS NV GENT</v>
          </cell>
          <cell r="J91" t="str">
            <v>425210</v>
          </cell>
          <cell r="K91" t="str">
            <v>End User Domestic Exit Point IC</v>
          </cell>
          <cell r="L91" t="str">
            <v>H-Zone</v>
          </cell>
          <cell r="M91">
            <v>1</v>
          </cell>
          <cell r="N91">
            <v>1</v>
          </cell>
          <cell r="O91">
            <v>0</v>
          </cell>
          <cell r="Q91">
            <v>1</v>
          </cell>
          <cell r="S91" t="str">
            <v>22ZFL425210----U</v>
          </cell>
        </row>
        <row r="92">
          <cell r="A92" t="str">
            <v>IMERYS MINERAUX BELGIQUE VISE</v>
          </cell>
          <cell r="B92" t="str">
            <v>81083-N01</v>
          </cell>
          <cell r="C92" t="str">
            <v>81083</v>
          </cell>
          <cell r="D92" t="str">
            <v>Industrial Client</v>
          </cell>
          <cell r="E92" t="str">
            <v>rue du Canal</v>
          </cell>
          <cell r="F92">
            <v>2</v>
          </cell>
          <cell r="G92">
            <v>4600</v>
          </cell>
          <cell r="H92" t="str">
            <v>LIXHE</v>
          </cell>
          <cell r="I92" t="str">
            <v>IMERYS MINERAUX BELGIQUE VISE</v>
          </cell>
          <cell r="J92" t="str">
            <v>005293</v>
          </cell>
          <cell r="K92" t="str">
            <v>End User Domestic Exit Point IC</v>
          </cell>
          <cell r="L92" t="str">
            <v>H-Zone</v>
          </cell>
          <cell r="M92">
            <v>1</v>
          </cell>
          <cell r="N92">
            <v>0</v>
          </cell>
          <cell r="O92">
            <v>0</v>
          </cell>
          <cell r="Q92">
            <v>0</v>
          </cell>
          <cell r="S92" t="str">
            <v>22ZFL005293----K</v>
          </cell>
        </row>
        <row r="93">
          <cell r="A93" t="str">
            <v>IMERYS TALC GENT</v>
          </cell>
          <cell r="B93" t="str">
            <v>42535-N01</v>
          </cell>
          <cell r="C93" t="str">
            <v>42535</v>
          </cell>
          <cell r="D93" t="str">
            <v>Industrial Client</v>
          </cell>
          <cell r="E93" t="str">
            <v>Scheepzatestraat</v>
          </cell>
          <cell r="F93">
            <v>2</v>
          </cell>
          <cell r="G93">
            <v>9000</v>
          </cell>
          <cell r="H93" t="str">
            <v>GENT</v>
          </cell>
          <cell r="I93" t="str">
            <v>IMERYS TALC GENT</v>
          </cell>
          <cell r="J93" t="str">
            <v>425350</v>
          </cell>
          <cell r="K93" t="str">
            <v>End User Domestic Exit Point IC</v>
          </cell>
          <cell r="L93" t="str">
            <v>H-Zone</v>
          </cell>
          <cell r="M93">
            <v>1</v>
          </cell>
          <cell r="N93">
            <v>1</v>
          </cell>
          <cell r="O93">
            <v>0</v>
          </cell>
          <cell r="Q93">
            <v>1</v>
          </cell>
          <cell r="S93" t="str">
            <v>22ZFL425350----V</v>
          </cell>
        </row>
        <row r="94">
          <cell r="A94" t="str">
            <v>INBEV LEUVEN</v>
          </cell>
          <cell r="B94" t="str">
            <v>31423-N01</v>
          </cell>
          <cell r="C94" t="str">
            <v>31423</v>
          </cell>
          <cell r="D94" t="str">
            <v>Industrial Client</v>
          </cell>
          <cell r="E94" t="str">
            <v>Brouwerijplein</v>
          </cell>
          <cell r="F94">
            <v>1</v>
          </cell>
          <cell r="G94">
            <v>3000</v>
          </cell>
          <cell r="H94" t="str">
            <v>LEUVEN</v>
          </cell>
          <cell r="I94" t="str">
            <v>INBEV LEUVEN</v>
          </cell>
          <cell r="J94" t="str">
            <v>005958</v>
          </cell>
          <cell r="K94" t="str">
            <v>End User Domestic Exit Point IC</v>
          </cell>
          <cell r="L94" t="str">
            <v>L-Zone</v>
          </cell>
          <cell r="M94">
            <v>1</v>
          </cell>
          <cell r="N94">
            <v>0</v>
          </cell>
          <cell r="O94">
            <v>0</v>
          </cell>
          <cell r="Q94">
            <v>0</v>
          </cell>
          <cell r="S94" t="str">
            <v>22ZFL-005958---W</v>
          </cell>
        </row>
        <row r="95">
          <cell r="A95" t="str">
            <v>INDUSTEEL BELGIUM CHARLEROI</v>
          </cell>
          <cell r="B95" t="str">
            <v>54461-N01</v>
          </cell>
          <cell r="C95" t="str">
            <v>54461</v>
          </cell>
          <cell r="D95" t="str">
            <v>Industrial Client</v>
          </cell>
          <cell r="E95" t="str">
            <v>Rue de Châtelet (BP 1739)</v>
          </cell>
          <cell r="F95">
            <v>266</v>
          </cell>
          <cell r="G95">
            <v>6030</v>
          </cell>
          <cell r="H95" t="str">
            <v>MARCHIENNE-AU-PONT</v>
          </cell>
          <cell r="I95" t="str">
            <v>INDUSTEEL BELGIUM CHARLEROI</v>
          </cell>
          <cell r="J95" t="str">
            <v>005914</v>
          </cell>
          <cell r="K95" t="str">
            <v>End User Domestic Exit Point IC</v>
          </cell>
          <cell r="L95" t="str">
            <v>H-Zone</v>
          </cell>
          <cell r="M95">
            <v>1</v>
          </cell>
          <cell r="N95">
            <v>1</v>
          </cell>
          <cell r="O95">
            <v>0</v>
          </cell>
          <cell r="Q95">
            <v>1</v>
          </cell>
          <cell r="S95" t="str">
            <v>22ZFL005914----E</v>
          </cell>
        </row>
        <row r="96">
          <cell r="A96" t="str">
            <v>INEOS 1 FELUY SPRL</v>
          </cell>
          <cell r="B96" t="str">
            <v>61333-N01</v>
          </cell>
          <cell r="C96" t="str">
            <v>61333</v>
          </cell>
          <cell r="D96" t="str">
            <v>Industrial Client</v>
          </cell>
          <cell r="E96" t="str">
            <v>Parc Industriel Nord, Zone C</v>
          </cell>
          <cell r="F96" t="str">
            <v>z/n</v>
          </cell>
          <cell r="G96">
            <v>7181</v>
          </cell>
          <cell r="H96" t="str">
            <v>FELUY</v>
          </cell>
          <cell r="I96" t="str">
            <v>INEOS FELUY SPRL 1+2</v>
          </cell>
          <cell r="J96" t="str">
            <v>005915</v>
          </cell>
          <cell r="K96" t="str">
            <v>End User Domestic Exit Point IC</v>
          </cell>
          <cell r="L96" t="str">
            <v>H-Zone</v>
          </cell>
          <cell r="M96">
            <v>1</v>
          </cell>
          <cell r="N96">
            <v>0</v>
          </cell>
          <cell r="O96">
            <v>0</v>
          </cell>
          <cell r="Q96">
            <v>0</v>
          </cell>
          <cell r="S96" t="str">
            <v>22ZFL005915----8</v>
          </cell>
        </row>
        <row r="97">
          <cell r="A97" t="str">
            <v>INEOS 2 FELUY SPRL</v>
          </cell>
          <cell r="B97" t="str">
            <v>61325-N01</v>
          </cell>
          <cell r="C97" t="str">
            <v>61325</v>
          </cell>
          <cell r="D97" t="str">
            <v>Industrial Client</v>
          </cell>
          <cell r="E97" t="str">
            <v>Parc Industriel - Zone C</v>
          </cell>
          <cell r="F97" t="str">
            <v>z/n</v>
          </cell>
          <cell r="G97">
            <v>7181</v>
          </cell>
          <cell r="H97" t="str">
            <v>SENEFFE</v>
          </cell>
          <cell r="I97" t="str">
            <v>INEOS FELUY SPRL 1+2</v>
          </cell>
          <cell r="J97" t="str">
            <v>005915</v>
          </cell>
          <cell r="K97" t="str">
            <v>End User Domestic Exit Point IC</v>
          </cell>
          <cell r="L97" t="str">
            <v>H-Zone</v>
          </cell>
          <cell r="M97">
            <v>1</v>
          </cell>
          <cell r="N97">
            <v>0</v>
          </cell>
          <cell r="O97">
            <v>0</v>
          </cell>
          <cell r="Q97">
            <v>0</v>
          </cell>
          <cell r="S97" t="str">
            <v>22ZFL005915----8</v>
          </cell>
        </row>
        <row r="98">
          <cell r="A98" t="str">
            <v>INEOS MANUFACTURING BELGIUM LILLO</v>
          </cell>
          <cell r="B98" t="str">
            <v>21173-N01</v>
          </cell>
          <cell r="C98" t="str">
            <v>21173</v>
          </cell>
          <cell r="D98" t="str">
            <v>Industrial Client</v>
          </cell>
          <cell r="E98" t="str">
            <v>Haven 647 Scheldelaan</v>
          </cell>
          <cell r="F98">
            <v>480</v>
          </cell>
          <cell r="G98">
            <v>2040</v>
          </cell>
          <cell r="H98" t="str">
            <v>ANTWERPEN</v>
          </cell>
          <cell r="I98" t="str">
            <v>INEOS MANUFACTURING BELGIUM LILLO</v>
          </cell>
          <cell r="J98" t="str">
            <v>004712</v>
          </cell>
          <cell r="K98" t="str">
            <v>End User Domestic Exit Point IC</v>
          </cell>
          <cell r="L98" t="str">
            <v>L-Zone</v>
          </cell>
          <cell r="M98">
            <v>1</v>
          </cell>
          <cell r="N98">
            <v>0</v>
          </cell>
          <cell r="O98">
            <v>0</v>
          </cell>
          <cell r="Q98">
            <v>0</v>
          </cell>
          <cell r="S98" t="str">
            <v>22ZFL004712----E</v>
          </cell>
        </row>
        <row r="99">
          <cell r="A99" t="str">
            <v>INEOS ZWIJNDRECHT</v>
          </cell>
          <cell r="B99" t="str">
            <v>21327-N01</v>
          </cell>
          <cell r="C99" t="str">
            <v>21327</v>
          </cell>
          <cell r="D99" t="str">
            <v>Industrial Client</v>
          </cell>
          <cell r="E99" t="str">
            <v>Haven 1053 - Scheldedijk</v>
          </cell>
          <cell r="F99">
            <v>1</v>
          </cell>
          <cell r="G99">
            <v>2070</v>
          </cell>
          <cell r="H99" t="str">
            <v>ZWIJNDRECHT</v>
          </cell>
          <cell r="I99" t="str">
            <v>INEOS NV + RWE GEN. BELG. ZWIJNDRECHT</v>
          </cell>
          <cell r="J99" t="str">
            <v>005909</v>
          </cell>
          <cell r="K99" t="str">
            <v>End User Domestic Exit Point PP</v>
          </cell>
          <cell r="L99" t="str">
            <v>H-Zone</v>
          </cell>
          <cell r="M99">
            <v>1</v>
          </cell>
          <cell r="N99">
            <v>0</v>
          </cell>
          <cell r="O99">
            <v>0</v>
          </cell>
          <cell r="Q99">
            <v>0</v>
          </cell>
          <cell r="S99" t="str">
            <v>22ZFL005909----S</v>
          </cell>
        </row>
        <row r="100">
          <cell r="A100" t="str">
            <v>INOVYN S.A. JEMEPPE-SUR-SAMBRE</v>
          </cell>
          <cell r="B100" t="str">
            <v>52291-N01</v>
          </cell>
          <cell r="C100" t="str">
            <v>52291</v>
          </cell>
          <cell r="D100" t="str">
            <v>Industrial Client</v>
          </cell>
          <cell r="E100" t="str">
            <v>rue de Solvay</v>
          </cell>
          <cell r="F100">
            <v>39</v>
          </cell>
          <cell r="G100">
            <v>5190</v>
          </cell>
          <cell r="H100" t="str">
            <v>JEMEPPE-SUR-SAMBRE</v>
          </cell>
          <cell r="I100" t="str">
            <v>INOVYN S.A. JEMEPPE-SUR-SAMBRE</v>
          </cell>
          <cell r="J100" t="str">
            <v>004754</v>
          </cell>
          <cell r="K100" t="str">
            <v>End User Domestic Exit Point IC</v>
          </cell>
          <cell r="L100" t="str">
            <v>H-Zone</v>
          </cell>
          <cell r="M100">
            <v>1</v>
          </cell>
          <cell r="N100">
            <v>1</v>
          </cell>
          <cell r="O100">
            <v>0</v>
          </cell>
          <cell r="Q100">
            <v>0</v>
          </cell>
          <cell r="S100" t="str">
            <v>22ZFL004754----B</v>
          </cell>
        </row>
        <row r="101">
          <cell r="A101" t="str">
            <v>INTERBREW PIEDBOEUF JUPILLE</v>
          </cell>
          <cell r="B101" t="str">
            <v>83511-N01</v>
          </cell>
          <cell r="C101" t="str">
            <v>83511</v>
          </cell>
          <cell r="D101" t="str">
            <v>Industrial Client</v>
          </cell>
          <cell r="E101" t="str">
            <v>Avenue prévers</v>
          </cell>
          <cell r="F101">
            <v>26</v>
          </cell>
          <cell r="G101">
            <v>4020</v>
          </cell>
          <cell r="H101" t="str">
            <v>LIEGE JUPILLE</v>
          </cell>
          <cell r="I101" t="str">
            <v>INTERBREW PIEDBOEUF JUPILLE</v>
          </cell>
          <cell r="J101" t="str">
            <v>004778</v>
          </cell>
          <cell r="K101" t="str">
            <v>End User Domestic Exit Point IC</v>
          </cell>
          <cell r="L101" t="str">
            <v>H-Zone</v>
          </cell>
          <cell r="M101">
            <v>1</v>
          </cell>
          <cell r="N101">
            <v>1</v>
          </cell>
          <cell r="O101">
            <v>0</v>
          </cell>
          <cell r="Q101">
            <v>1</v>
          </cell>
          <cell r="S101" t="str">
            <v>22ZFL004778----A</v>
          </cell>
        </row>
        <row r="102">
          <cell r="A102" t="str">
            <v>INTERVEST OFFICES HERENTALS</v>
          </cell>
          <cell r="B102" t="str">
            <v>01301-N01</v>
          </cell>
          <cell r="C102" t="str">
            <v>1301</v>
          </cell>
          <cell r="D102" t="str">
            <v>Industrial Client</v>
          </cell>
          <cell r="E102" t="str">
            <v>Atealaan</v>
          </cell>
          <cell r="F102">
            <v>34</v>
          </cell>
          <cell r="G102">
            <v>2200</v>
          </cell>
          <cell r="H102" t="str">
            <v>HERENTALS</v>
          </cell>
          <cell r="I102" t="str">
            <v>INTERVEST OFFICES HERENTALS</v>
          </cell>
          <cell r="J102" t="str">
            <v>13010</v>
          </cell>
          <cell r="K102" t="str">
            <v>End User Domestic Exit Point IC</v>
          </cell>
          <cell r="L102" t="str">
            <v>L-Zone</v>
          </cell>
          <cell r="M102">
            <v>1</v>
          </cell>
          <cell r="N102">
            <v>0</v>
          </cell>
          <cell r="O102">
            <v>0</v>
          </cell>
          <cell r="Q102">
            <v>0</v>
          </cell>
          <cell r="S102" t="str">
            <v>22ZFL13010-----8</v>
          </cell>
        </row>
        <row r="103">
          <cell r="A103" t="str">
            <v>JINDAL FILMS EUROPE VIRTON LLC</v>
          </cell>
          <cell r="B103" t="str">
            <v>87461-N01</v>
          </cell>
          <cell r="C103" t="str">
            <v>87461</v>
          </cell>
          <cell r="D103" t="str">
            <v>Industrial Client</v>
          </cell>
          <cell r="E103" t="str">
            <v>Zoning Industriel de Latour</v>
          </cell>
          <cell r="F103" t="str">
            <v>z/n</v>
          </cell>
          <cell r="G103">
            <v>6761</v>
          </cell>
          <cell r="H103" t="str">
            <v>VIRTON</v>
          </cell>
          <cell r="I103" t="str">
            <v>JINDAL FILMS EUROPE VIRTON LLC</v>
          </cell>
          <cell r="J103" t="str">
            <v>004788</v>
          </cell>
          <cell r="K103" t="str">
            <v>End User Domestic Exit Point IC</v>
          </cell>
          <cell r="L103" t="str">
            <v>H-Zone</v>
          </cell>
          <cell r="M103">
            <v>1</v>
          </cell>
          <cell r="N103">
            <v>0</v>
          </cell>
          <cell r="O103">
            <v>0</v>
          </cell>
          <cell r="Q103">
            <v>0</v>
          </cell>
          <cell r="S103" t="str">
            <v>22ZFL004788----3</v>
          </cell>
        </row>
        <row r="104">
          <cell r="A104" t="str">
            <v>KANEKA BELGIUM OEVEL</v>
          </cell>
          <cell r="B104" t="str">
            <v>18061-N01</v>
          </cell>
          <cell r="C104" t="str">
            <v>18061</v>
          </cell>
          <cell r="D104" t="str">
            <v>Industrial Client</v>
          </cell>
          <cell r="E104" t="str">
            <v>Nijverheidsstraat</v>
          </cell>
          <cell r="F104">
            <v>16</v>
          </cell>
          <cell r="G104">
            <v>2260</v>
          </cell>
          <cell r="H104" t="str">
            <v>WESTERLO</v>
          </cell>
          <cell r="I104" t="str">
            <v>KANEKA BELGIUM OEVEL</v>
          </cell>
          <cell r="J104" t="str">
            <v>004709</v>
          </cell>
          <cell r="K104" t="str">
            <v>End User Domestic Exit Point IC</v>
          </cell>
          <cell r="L104" t="str">
            <v>H-Zone</v>
          </cell>
          <cell r="M104">
            <v>1</v>
          </cell>
          <cell r="N104">
            <v>0</v>
          </cell>
          <cell r="O104">
            <v>0</v>
          </cell>
          <cell r="Q104">
            <v>0</v>
          </cell>
          <cell r="S104" t="str">
            <v>22ZFL004709----G</v>
          </cell>
          <cell r="T104" t="str">
            <v>01/09/2015 - Done</v>
          </cell>
        </row>
        <row r="105">
          <cell r="A105" t="str">
            <v>KNAUF INSULATION SPRL</v>
          </cell>
          <cell r="B105" t="str">
            <v>05055-N01</v>
          </cell>
          <cell r="C105" t="str">
            <v>5055</v>
          </cell>
          <cell r="D105" t="str">
            <v>Industrial Client</v>
          </cell>
          <cell r="E105" t="str">
            <v>Rue de Maestricht</v>
          </cell>
          <cell r="F105">
            <v>95</v>
          </cell>
          <cell r="G105">
            <v>4600</v>
          </cell>
          <cell r="H105" t="str">
            <v>VISE</v>
          </cell>
          <cell r="I105" t="str">
            <v>KNAUF INSULATION SPRL</v>
          </cell>
          <cell r="J105" t="str">
            <v>004690</v>
          </cell>
          <cell r="K105" t="str">
            <v>End User Domestic Exit Point IC</v>
          </cell>
          <cell r="L105" t="str">
            <v>H-Zone</v>
          </cell>
          <cell r="M105">
            <v>1</v>
          </cell>
          <cell r="N105">
            <v>0</v>
          </cell>
          <cell r="O105">
            <v>0</v>
          </cell>
          <cell r="Q105">
            <v>0</v>
          </cell>
          <cell r="S105" t="str">
            <v>22ZFL004690----F</v>
          </cell>
        </row>
        <row r="106">
          <cell r="A106" t="str">
            <v>KNAUF-GIPS EHEIN</v>
          </cell>
          <cell r="B106" t="str">
            <v>86363-N01</v>
          </cell>
          <cell r="C106" t="str">
            <v>86363</v>
          </cell>
          <cell r="D106" t="str">
            <v>Industrial Client</v>
          </cell>
          <cell r="E106" t="str">
            <v>Zone Industrielle</v>
          </cell>
          <cell r="F106">
            <v>1</v>
          </cell>
          <cell r="G106">
            <v>4480</v>
          </cell>
          <cell r="H106" t="str">
            <v>ENGIS</v>
          </cell>
          <cell r="I106" t="str">
            <v>KNAUF-GIPS EHEIN</v>
          </cell>
          <cell r="J106" t="str">
            <v>004780</v>
          </cell>
          <cell r="K106" t="str">
            <v>End User Domestic Exit Point IC</v>
          </cell>
          <cell r="L106" t="str">
            <v>H-Zone</v>
          </cell>
          <cell r="M106">
            <v>1</v>
          </cell>
          <cell r="N106">
            <v>0</v>
          </cell>
          <cell r="O106">
            <v>0</v>
          </cell>
          <cell r="Q106">
            <v>0</v>
          </cell>
          <cell r="S106" t="str">
            <v>22ZFL004780----E</v>
          </cell>
        </row>
        <row r="107">
          <cell r="A107" t="str">
            <v>KRONOS EUROPE LANGERBRUGGE</v>
          </cell>
          <cell r="B107" t="str">
            <v>42489-N01</v>
          </cell>
          <cell r="C107" t="str">
            <v>42489</v>
          </cell>
          <cell r="D107" t="str">
            <v>Industrial Client</v>
          </cell>
          <cell r="E107" t="str">
            <v>Langerbruggekaai</v>
          </cell>
          <cell r="F107">
            <v>10</v>
          </cell>
          <cell r="G107">
            <v>9000</v>
          </cell>
          <cell r="H107" t="str">
            <v>GENT</v>
          </cell>
          <cell r="I107" t="str">
            <v>KRONOS EUROPE LANGERBRUGGE</v>
          </cell>
          <cell r="J107" t="str">
            <v>004741</v>
          </cell>
          <cell r="K107" t="str">
            <v>End User Domestic Exit Point IC</v>
          </cell>
          <cell r="L107" t="str">
            <v>H-Zone</v>
          </cell>
          <cell r="M107">
            <v>1</v>
          </cell>
          <cell r="N107">
            <v>0</v>
          </cell>
          <cell r="O107">
            <v>0</v>
          </cell>
          <cell r="Q107">
            <v>0</v>
          </cell>
          <cell r="S107" t="str">
            <v>22ZFL-004741---L</v>
          </cell>
        </row>
        <row r="108">
          <cell r="A108" t="str">
            <v>LAMBIOTTE CIE A MARBEHAN</v>
          </cell>
          <cell r="B108" t="str">
            <v>87140-N01</v>
          </cell>
          <cell r="C108" t="str">
            <v>87141</v>
          </cell>
          <cell r="D108" t="str">
            <v>Industrial Client</v>
          </cell>
          <cell r="E108" t="str">
            <v>Route des Forges</v>
          </cell>
          <cell r="F108" t="str">
            <v>z/n</v>
          </cell>
          <cell r="G108">
            <v>6724</v>
          </cell>
          <cell r="H108" t="str">
            <v>RULLES</v>
          </cell>
          <cell r="I108" t="str">
            <v>LAMBIOTTE CIE A MARBEHAN</v>
          </cell>
          <cell r="J108" t="str">
            <v>871410</v>
          </cell>
          <cell r="K108" t="str">
            <v>End User Domestic Exit Point IC</v>
          </cell>
          <cell r="L108" t="str">
            <v>H-Zone</v>
          </cell>
          <cell r="M108">
            <v>1</v>
          </cell>
          <cell r="N108">
            <v>0</v>
          </cell>
          <cell r="O108">
            <v>1</v>
          </cell>
          <cell r="Q108">
            <v>1</v>
          </cell>
          <cell r="S108" t="str">
            <v>22ZFL871410----U</v>
          </cell>
        </row>
        <row r="109">
          <cell r="A109" t="str">
            <v>LANXESS NV (VESTIGING KALLO)</v>
          </cell>
          <cell r="B109" t="str">
            <v>21449-N01</v>
          </cell>
          <cell r="C109" t="str">
            <v>21449</v>
          </cell>
          <cell r="D109" t="str">
            <v>Industrial Client</v>
          </cell>
          <cell r="E109" t="str">
            <v>Haven 507 - Ketenislaan</v>
          </cell>
          <cell r="F109">
            <v>2</v>
          </cell>
          <cell r="G109">
            <v>2040</v>
          </cell>
          <cell r="H109" t="str">
            <v>ANTWERPEN</v>
          </cell>
          <cell r="I109" t="str">
            <v>LANXESS NV (VESTIGING KALLO)</v>
          </cell>
          <cell r="J109" t="str">
            <v>004868</v>
          </cell>
          <cell r="K109" t="str">
            <v>End User Domestic Exit Point IC</v>
          </cell>
          <cell r="L109" t="str">
            <v>H-Zone</v>
          </cell>
          <cell r="M109">
            <v>1</v>
          </cell>
          <cell r="N109">
            <v>0</v>
          </cell>
          <cell r="O109">
            <v>0</v>
          </cell>
          <cell r="Q109">
            <v>0</v>
          </cell>
          <cell r="S109" t="str">
            <v>22ZFL004868----9</v>
          </cell>
        </row>
        <row r="110">
          <cell r="A110" t="str">
            <v>LANXESS NV (vestiging Lillo)</v>
          </cell>
          <cell r="B110" t="str">
            <v>21759-N01</v>
          </cell>
          <cell r="C110" t="str">
            <v>21759</v>
          </cell>
          <cell r="D110" t="str">
            <v>Industrial Client</v>
          </cell>
          <cell r="E110" t="str">
            <v>Haven 507 - Scheldelaan</v>
          </cell>
          <cell r="F110">
            <v>420</v>
          </cell>
          <cell r="G110">
            <v>2040</v>
          </cell>
          <cell r="H110" t="str">
            <v>ANTWERPEN</v>
          </cell>
          <cell r="I110" t="str">
            <v>LANXESS NV (VESTIGING LILLO)</v>
          </cell>
          <cell r="J110" t="str">
            <v>007349</v>
          </cell>
          <cell r="K110" t="str">
            <v>End User Domestic Exit Point PP</v>
          </cell>
          <cell r="L110" t="str">
            <v>H-Zone</v>
          </cell>
          <cell r="M110">
            <v>1</v>
          </cell>
          <cell r="N110">
            <v>0</v>
          </cell>
          <cell r="O110">
            <v>0</v>
          </cell>
          <cell r="Q110">
            <v>0</v>
          </cell>
          <cell r="S110" t="str">
            <v>22ZFL217590----1</v>
          </cell>
        </row>
        <row r="111">
          <cell r="A111" t="str">
            <v>LAWTER BVBA KALLO</v>
          </cell>
          <cell r="B111" t="str">
            <v>42889-N01</v>
          </cell>
          <cell r="C111" t="str">
            <v>42889</v>
          </cell>
          <cell r="D111" t="str">
            <v>Industrial Client</v>
          </cell>
          <cell r="E111" t="str">
            <v>Haven 1520 - Ketenislaan</v>
          </cell>
          <cell r="F111" t="str">
            <v>1C</v>
          </cell>
          <cell r="G111">
            <v>9130</v>
          </cell>
          <cell r="H111" t="str">
            <v>KALLO</v>
          </cell>
          <cell r="I111" t="str">
            <v>LAWTER BVBA KALLO</v>
          </cell>
          <cell r="J111" t="str">
            <v>428890</v>
          </cell>
          <cell r="K111" t="str">
            <v>End User Domestic Exit Point IC</v>
          </cell>
          <cell r="L111" t="str">
            <v>H-Zone</v>
          </cell>
          <cell r="M111">
            <v>1</v>
          </cell>
          <cell r="N111">
            <v>0</v>
          </cell>
          <cell r="O111">
            <v>0</v>
          </cell>
          <cell r="Q111">
            <v>0</v>
          </cell>
          <cell r="S111" t="str">
            <v>22ZFL428890----A</v>
          </cell>
        </row>
        <row r="112">
          <cell r="A112" t="str">
            <v>LHOIST JEMELLE</v>
          </cell>
          <cell r="B112" t="str">
            <v>87061-N01</v>
          </cell>
          <cell r="C112" t="str">
            <v>87061</v>
          </cell>
          <cell r="D112" t="str">
            <v>Industrial Client</v>
          </cell>
          <cell r="E112" t="str">
            <v>Usine de ON</v>
          </cell>
          <cell r="F112" t="str">
            <v>z/n</v>
          </cell>
          <cell r="G112">
            <v>6900</v>
          </cell>
          <cell r="H112" t="str">
            <v>MARCHE-EN-FAMENNE</v>
          </cell>
          <cell r="I112" t="str">
            <v>LHOIST JEMELLE</v>
          </cell>
          <cell r="J112" t="str">
            <v>004786</v>
          </cell>
          <cell r="K112" t="str">
            <v>End User Domestic Exit Point IC</v>
          </cell>
          <cell r="L112" t="str">
            <v>H-Zone</v>
          </cell>
          <cell r="M112">
            <v>1</v>
          </cell>
          <cell r="N112">
            <v>0</v>
          </cell>
          <cell r="O112">
            <v>0</v>
          </cell>
          <cell r="Q112">
            <v>0</v>
          </cell>
          <cell r="S112" t="str">
            <v>22ZFL004786----F</v>
          </cell>
        </row>
        <row r="113">
          <cell r="A113" t="str">
            <v>LOCK'O ATHUS</v>
          </cell>
          <cell r="B113" t="str">
            <v>87555-N01</v>
          </cell>
          <cell r="C113" t="str">
            <v>87555</v>
          </cell>
          <cell r="D113" t="str">
            <v>Industrial Client</v>
          </cell>
          <cell r="E113" t="str">
            <v>Avenue de l'Europe</v>
          </cell>
          <cell r="F113" t="str">
            <v>z/n</v>
          </cell>
          <cell r="G113">
            <v>6791</v>
          </cell>
          <cell r="H113" t="str">
            <v>ATHUS</v>
          </cell>
          <cell r="I113" t="str">
            <v xml:space="preserve">LOCK'O ATHUS </v>
          </cell>
          <cell r="J113" t="str">
            <v>875550</v>
          </cell>
          <cell r="K113" t="str">
            <v>End User Domestic Exit Point IC</v>
          </cell>
          <cell r="L113" t="str">
            <v>H-Zone</v>
          </cell>
          <cell r="M113">
            <v>1</v>
          </cell>
          <cell r="N113">
            <v>0</v>
          </cell>
          <cell r="O113">
            <v>0</v>
          </cell>
          <cell r="Q113">
            <v>0</v>
          </cell>
          <cell r="S113" t="str">
            <v>22ZFL875550----W</v>
          </cell>
        </row>
        <row r="114">
          <cell r="A114" t="str">
            <v>LRM LEASE LOMMEL</v>
          </cell>
          <cell r="B114" t="str">
            <v>11049-N01</v>
          </cell>
          <cell r="C114" t="str">
            <v>11049</v>
          </cell>
          <cell r="D114" t="str">
            <v>Industrial Client</v>
          </cell>
          <cell r="E114" t="str">
            <v>Balendijk</v>
          </cell>
          <cell r="F114">
            <v>161</v>
          </cell>
          <cell r="G114">
            <v>3920</v>
          </cell>
          <cell r="H114" t="str">
            <v>LOMMEL</v>
          </cell>
          <cell r="I114" t="str">
            <v>LRM LEASE LOMMEL</v>
          </cell>
          <cell r="J114" t="str">
            <v>004695</v>
          </cell>
          <cell r="K114" t="str">
            <v>End User Domestic Exit Point IC</v>
          </cell>
          <cell r="L114" t="str">
            <v>H-Zone</v>
          </cell>
          <cell r="M114">
            <v>1</v>
          </cell>
          <cell r="N114">
            <v>0</v>
          </cell>
          <cell r="O114">
            <v>0</v>
          </cell>
          <cell r="Q114">
            <v>0</v>
          </cell>
          <cell r="S114" t="str">
            <v>22ZFL004695----M</v>
          </cell>
          <cell r="T114" t="str">
            <v>01/09/2015 - Done</v>
          </cell>
        </row>
        <row r="115">
          <cell r="A115" t="str">
            <v>LUTOSA LEUZE</v>
          </cell>
          <cell r="B115" t="str">
            <v>44303-N01</v>
          </cell>
          <cell r="C115" t="str">
            <v>44303</v>
          </cell>
          <cell r="D115" t="str">
            <v>Industrial Client</v>
          </cell>
          <cell r="E115" t="str">
            <v>Zone Industrielle du Vieux Pont</v>
          </cell>
          <cell r="F115">
            <v>5</v>
          </cell>
          <cell r="G115">
            <v>7900</v>
          </cell>
          <cell r="H115" t="str">
            <v>LEUZE-EN-HAINAUT</v>
          </cell>
          <cell r="I115" t="str">
            <v>LUTOSA LEUZE</v>
          </cell>
          <cell r="J115" t="str">
            <v>443030</v>
          </cell>
          <cell r="K115" t="str">
            <v>End User Domestic Exit Point IC</v>
          </cell>
          <cell r="L115" t="str">
            <v>H-Zone</v>
          </cell>
          <cell r="M115">
            <v>1</v>
          </cell>
          <cell r="N115">
            <v>0</v>
          </cell>
          <cell r="O115">
            <v>0</v>
          </cell>
          <cell r="Q115">
            <v>0</v>
          </cell>
          <cell r="S115" t="str">
            <v>22ZFL443030----U</v>
          </cell>
        </row>
        <row r="116">
          <cell r="A116" t="str">
            <v>LUYTEN SA MARCHE-LES-DAMES</v>
          </cell>
          <cell r="B116" t="str">
            <v>86765-N01</v>
          </cell>
          <cell r="C116" t="str">
            <v>86765</v>
          </cell>
          <cell r="D116" t="str">
            <v>Industrial Client</v>
          </cell>
          <cell r="E116" t="str">
            <v>Rue du Roi Chevalier</v>
          </cell>
          <cell r="F116">
            <v>1</v>
          </cell>
          <cell r="G116">
            <v>5024</v>
          </cell>
          <cell r="H116" t="str">
            <v>MARCHE-LES-DAMES</v>
          </cell>
          <cell r="I116" t="str">
            <v>LUYTEN SA MARCHE-LES-DAMES</v>
          </cell>
          <cell r="J116" t="str">
            <v>867650</v>
          </cell>
          <cell r="K116" t="str">
            <v>End User Domestic Exit Point IC</v>
          </cell>
          <cell r="L116" t="str">
            <v>H-Zone</v>
          </cell>
          <cell r="M116">
            <v>1</v>
          </cell>
          <cell r="N116">
            <v>1</v>
          </cell>
          <cell r="O116">
            <v>0</v>
          </cell>
          <cell r="Q116">
            <v>1</v>
          </cell>
          <cell r="S116" t="str">
            <v>22ZFL867650----G</v>
          </cell>
        </row>
        <row r="117">
          <cell r="A117" t="str">
            <v>MAGOLUX MESSANCY</v>
          </cell>
          <cell r="B117" t="str">
            <v>87541-N01</v>
          </cell>
          <cell r="C117" t="str">
            <v>87541</v>
          </cell>
          <cell r="D117" t="str">
            <v>Industrial Client</v>
          </cell>
          <cell r="E117" t="str">
            <v>Rue de la Hart</v>
          </cell>
          <cell r="F117">
            <v>1</v>
          </cell>
          <cell r="G117">
            <v>6780</v>
          </cell>
          <cell r="H117" t="str">
            <v>MESSANCY</v>
          </cell>
          <cell r="I117" t="str">
            <v>MAGOLUX MESSANCY</v>
          </cell>
          <cell r="J117" t="str">
            <v>875410</v>
          </cell>
          <cell r="K117" t="str">
            <v>End User Domestic Exit Point IC</v>
          </cell>
          <cell r="L117" t="str">
            <v>H-Zone</v>
          </cell>
          <cell r="M117">
            <v>1</v>
          </cell>
          <cell r="N117">
            <v>0</v>
          </cell>
          <cell r="O117">
            <v>0</v>
          </cell>
          <cell r="Q117">
            <v>0</v>
          </cell>
          <cell r="S117" t="str">
            <v>22ZFL875410----V</v>
          </cell>
        </row>
        <row r="118">
          <cell r="A118" t="str">
            <v>MAGOTTEAUX INTERNATIONAL SA VAUX-SOUS-CHEVREMONT</v>
          </cell>
          <cell r="B118" t="str">
            <v>83621-N01</v>
          </cell>
          <cell r="C118" t="str">
            <v>83621</v>
          </cell>
          <cell r="D118" t="str">
            <v>Industrial Client</v>
          </cell>
          <cell r="E118" t="str">
            <v>Rue Prés de la Tour</v>
          </cell>
          <cell r="F118">
            <v>55</v>
          </cell>
          <cell r="G118">
            <v>4051</v>
          </cell>
          <cell r="H118" t="str">
            <v>VAUX-SUR-CHEVREMONT</v>
          </cell>
          <cell r="I118" t="str">
            <v>MAGOTTEAUX INTERNATIONAL SA</v>
          </cell>
          <cell r="J118" t="str">
            <v>836210</v>
          </cell>
          <cell r="K118" t="str">
            <v>End User Domestic Exit Point IC</v>
          </cell>
          <cell r="L118" t="str">
            <v>H-Zone</v>
          </cell>
          <cell r="M118">
            <v>1</v>
          </cell>
          <cell r="N118">
            <v>1</v>
          </cell>
          <cell r="O118">
            <v>0</v>
          </cell>
          <cell r="Q118">
            <v>1</v>
          </cell>
          <cell r="S118" t="str">
            <v>22ZFL836210----4</v>
          </cell>
        </row>
        <row r="119">
          <cell r="A119" t="str">
            <v>MARICHAL KETIN</v>
          </cell>
          <cell r="B119" t="str">
            <v>85057-N01</v>
          </cell>
          <cell r="C119" t="str">
            <v>85057</v>
          </cell>
          <cell r="D119" t="str">
            <v>Industrial Client</v>
          </cell>
          <cell r="E119" t="str">
            <v>Rue Verte Voie</v>
          </cell>
          <cell r="F119">
            <v>75</v>
          </cell>
          <cell r="G119">
            <v>4102</v>
          </cell>
          <cell r="H119" t="str">
            <v>OUGREE</v>
          </cell>
          <cell r="I119" t="str">
            <v>MARICHAL KÉTIN</v>
          </cell>
          <cell r="J119" t="str">
            <v>005301</v>
          </cell>
          <cell r="K119" t="str">
            <v>End User Domestic Exit Point IC</v>
          </cell>
          <cell r="L119" t="str">
            <v>H-Zone</v>
          </cell>
          <cell r="M119">
            <v>1</v>
          </cell>
          <cell r="N119">
            <v>1</v>
          </cell>
          <cell r="O119">
            <v>0</v>
          </cell>
          <cell r="Q119">
            <v>1</v>
          </cell>
          <cell r="S119" t="str">
            <v>22ZFL005301----D</v>
          </cell>
        </row>
        <row r="120">
          <cell r="A120" t="str">
            <v>MD VERRE SA GHLIN</v>
          </cell>
          <cell r="B120" t="str">
            <v>74171-N01</v>
          </cell>
          <cell r="C120" t="str">
            <v>74171</v>
          </cell>
          <cell r="D120" t="str">
            <v>Industrial Client</v>
          </cell>
          <cell r="E120" t="str">
            <v>Route des Ayettes</v>
          </cell>
          <cell r="F120">
            <v>2</v>
          </cell>
          <cell r="G120">
            <v>7011</v>
          </cell>
          <cell r="H120" t="str">
            <v>GHLIN</v>
          </cell>
          <cell r="I120" t="str">
            <v>MD VERRE SA GHLIN</v>
          </cell>
          <cell r="J120" t="str">
            <v>004773</v>
          </cell>
          <cell r="K120" t="str">
            <v>End User Domestic Exit Point IC</v>
          </cell>
          <cell r="L120" t="str">
            <v>H-Zone</v>
          </cell>
          <cell r="M120">
            <v>1</v>
          </cell>
          <cell r="N120">
            <v>1</v>
          </cell>
          <cell r="O120">
            <v>0</v>
          </cell>
          <cell r="Q120">
            <v>1</v>
          </cell>
          <cell r="S120" t="str">
            <v>22ZFL004773----3</v>
          </cell>
        </row>
        <row r="121">
          <cell r="A121" t="str">
            <v>METALLO BELGIUM BEERSE</v>
          </cell>
          <cell r="B121" t="str">
            <v>01211-N01</v>
          </cell>
          <cell r="C121" t="str">
            <v>1211</v>
          </cell>
          <cell r="D121" t="str">
            <v>Industrial Client</v>
          </cell>
          <cell r="E121" t="str">
            <v>Nieuwe Dreef</v>
          </cell>
          <cell r="F121">
            <v>33</v>
          </cell>
          <cell r="G121">
            <v>2340</v>
          </cell>
          <cell r="H121" t="str">
            <v>BEERSE</v>
          </cell>
          <cell r="I121" t="str">
            <v>METALLO BELGIUM BEERSE</v>
          </cell>
          <cell r="J121" t="str">
            <v>004691</v>
          </cell>
          <cell r="K121" t="str">
            <v>End User Domestic Exit Point IC</v>
          </cell>
          <cell r="L121" t="str">
            <v>L-Zone</v>
          </cell>
          <cell r="M121">
            <v>1</v>
          </cell>
          <cell r="N121">
            <v>0</v>
          </cell>
          <cell r="O121">
            <v>0</v>
          </cell>
          <cell r="Q121">
            <v>0</v>
          </cell>
          <cell r="S121" t="str">
            <v>22ZFL004691----9</v>
          </cell>
        </row>
        <row r="122">
          <cell r="A122" t="str">
            <v>MONDELEZ BELGIUM BISCUITS PROD HERENTALS</v>
          </cell>
          <cell r="B122" t="str">
            <v>01291-N01</v>
          </cell>
          <cell r="C122" t="str">
            <v>1291</v>
          </cell>
          <cell r="D122" t="str">
            <v>Industrial Client</v>
          </cell>
          <cell r="E122" t="str">
            <v>De Beukelaer Pareinlaan</v>
          </cell>
          <cell r="F122">
            <v>1</v>
          </cell>
          <cell r="G122">
            <v>2200</v>
          </cell>
          <cell r="H122" t="str">
            <v>HERENTALS</v>
          </cell>
          <cell r="I122" t="str">
            <v>MONDELEZ BELGIUM BISCUITS PROD HERENTALS</v>
          </cell>
          <cell r="J122" t="str">
            <v>004689</v>
          </cell>
          <cell r="K122" t="str">
            <v>End User Domestic Exit Point IC</v>
          </cell>
          <cell r="L122" t="str">
            <v>L-Zone</v>
          </cell>
          <cell r="M122">
            <v>1</v>
          </cell>
          <cell r="N122">
            <v>0</v>
          </cell>
          <cell r="O122">
            <v>0</v>
          </cell>
          <cell r="Q122">
            <v>0</v>
          </cell>
          <cell r="S122" t="str">
            <v>22ZFL004689----5</v>
          </cell>
        </row>
        <row r="123">
          <cell r="A123" t="str">
            <v>MONSANTO ANTWERPEN</v>
          </cell>
          <cell r="B123" t="str">
            <v>21581-N01</v>
          </cell>
          <cell r="C123" t="str">
            <v>21581</v>
          </cell>
          <cell r="D123" t="str">
            <v>Industrial Client</v>
          </cell>
          <cell r="E123" t="str">
            <v>Scheldelaan</v>
          </cell>
          <cell r="F123">
            <v>627</v>
          </cell>
          <cell r="G123">
            <v>2040</v>
          </cell>
          <cell r="H123" t="str">
            <v>ANTWERPEN</v>
          </cell>
          <cell r="I123" t="str">
            <v>MONSANTO ANTWERPEN</v>
          </cell>
          <cell r="J123" t="str">
            <v>004719</v>
          </cell>
          <cell r="K123" t="str">
            <v>End User Domestic Exit Point IC</v>
          </cell>
          <cell r="L123" t="str">
            <v>H-Zone</v>
          </cell>
          <cell r="M123">
            <v>1</v>
          </cell>
          <cell r="N123">
            <v>0</v>
          </cell>
          <cell r="O123">
            <v>0</v>
          </cell>
          <cell r="Q123">
            <v>0</v>
          </cell>
          <cell r="S123" t="str">
            <v>22ZFL004719----9</v>
          </cell>
        </row>
        <row r="124">
          <cell r="A124" t="str">
            <v>MONUMENT CHEMICAL BVBA KALLO</v>
          </cell>
          <cell r="B124" t="str">
            <v>21443-N01</v>
          </cell>
          <cell r="C124" t="str">
            <v>21443</v>
          </cell>
          <cell r="D124" t="str">
            <v>Industrial Client</v>
          </cell>
          <cell r="E124" t="str">
            <v>Haven 1972 - Ketenislaan</v>
          </cell>
          <cell r="F124">
            <v>3</v>
          </cell>
          <cell r="G124">
            <v>9130</v>
          </cell>
          <cell r="H124" t="str">
            <v>KALLO (KIELDRECHT)</v>
          </cell>
          <cell r="I124" t="str">
            <v>MONUMENT CHEMICAL BVBA KALLO</v>
          </cell>
          <cell r="J124" t="str">
            <v>214430</v>
          </cell>
          <cell r="K124" t="str">
            <v>End User Domestic Exit Point IC</v>
          </cell>
          <cell r="L124" t="str">
            <v>H-Zone</v>
          </cell>
          <cell r="M124">
            <v>1</v>
          </cell>
          <cell r="N124">
            <v>0</v>
          </cell>
          <cell r="O124">
            <v>0</v>
          </cell>
          <cell r="Q124">
            <v>0</v>
          </cell>
          <cell r="S124" t="str">
            <v>22ZFL214430----4</v>
          </cell>
        </row>
        <row r="125">
          <cell r="A125" t="str">
            <v>MOUTERIJ ALBERT PUURS</v>
          </cell>
          <cell r="B125" t="str">
            <v>32591-N01</v>
          </cell>
          <cell r="C125" t="str">
            <v>32591</v>
          </cell>
          <cell r="D125" t="str">
            <v>Industrial Client</v>
          </cell>
          <cell r="E125" t="str">
            <v>Kanaaldijk Z/N</v>
          </cell>
          <cell r="F125" t="str">
            <v>z/n</v>
          </cell>
          <cell r="G125">
            <v>2870</v>
          </cell>
          <cell r="H125" t="str">
            <v>PUURS</v>
          </cell>
          <cell r="I125" t="str">
            <v>MOUTERIJ ALBERT PUURS</v>
          </cell>
          <cell r="J125" t="str">
            <v>004731</v>
          </cell>
          <cell r="K125" t="str">
            <v>End User Domestic Exit Point IC</v>
          </cell>
          <cell r="L125" t="str">
            <v>L-Zone</v>
          </cell>
          <cell r="M125">
            <v>1</v>
          </cell>
          <cell r="N125">
            <v>1</v>
          </cell>
          <cell r="O125">
            <v>0</v>
          </cell>
          <cell r="Q125">
            <v>0</v>
          </cell>
          <cell r="S125" t="str">
            <v>22ZFL004731----6</v>
          </cell>
        </row>
        <row r="126">
          <cell r="A126" t="str">
            <v>NGK CERAMICS EUROPE BAUDOUR</v>
          </cell>
          <cell r="B126" t="str">
            <v>74141-N01</v>
          </cell>
          <cell r="C126" t="str">
            <v>74141</v>
          </cell>
          <cell r="D126" t="str">
            <v>Industrial Client</v>
          </cell>
          <cell r="E126" t="str">
            <v>Rue des Azalées</v>
          </cell>
          <cell r="F126">
            <v>1</v>
          </cell>
          <cell r="G126">
            <v>7331</v>
          </cell>
          <cell r="H126" t="str">
            <v>BAUDOUR</v>
          </cell>
          <cell r="I126" t="str">
            <v>NGK CERAMICS EUROPE BAUDOUR</v>
          </cell>
          <cell r="J126" t="str">
            <v>004771</v>
          </cell>
          <cell r="K126" t="str">
            <v>End User Domestic Exit Point IC</v>
          </cell>
          <cell r="L126" t="str">
            <v>H-Zone</v>
          </cell>
          <cell r="M126">
            <v>1</v>
          </cell>
          <cell r="N126">
            <v>1</v>
          </cell>
          <cell r="O126">
            <v>0</v>
          </cell>
          <cell r="Q126">
            <v>1</v>
          </cell>
          <cell r="S126" t="str">
            <v>22ZFL004771----F</v>
          </cell>
        </row>
        <row r="127">
          <cell r="A127" t="str">
            <v>NITTO GENK</v>
          </cell>
          <cell r="B127" t="str">
            <v>13067-N01</v>
          </cell>
          <cell r="C127" t="str">
            <v>13067</v>
          </cell>
          <cell r="D127" t="str">
            <v>Industrial Client</v>
          </cell>
          <cell r="E127" t="str">
            <v>Eikelaarstraat</v>
          </cell>
          <cell r="F127">
            <v>22</v>
          </cell>
          <cell r="G127">
            <v>3600</v>
          </cell>
          <cell r="H127" t="str">
            <v>GENK</v>
          </cell>
          <cell r="I127" t="str">
            <v>NITTO GENK</v>
          </cell>
          <cell r="J127" t="str">
            <v>005613</v>
          </cell>
          <cell r="K127" t="str">
            <v>End User Domestic Exit Point IC</v>
          </cell>
          <cell r="L127" t="str">
            <v>H-Zone</v>
          </cell>
          <cell r="M127">
            <v>1</v>
          </cell>
          <cell r="N127">
            <v>1</v>
          </cell>
          <cell r="O127">
            <v>0</v>
          </cell>
          <cell r="Q127">
            <v>0</v>
          </cell>
          <cell r="S127" t="str">
            <v>22ZFL005613----7</v>
          </cell>
        </row>
        <row r="128">
          <cell r="A128" t="str">
            <v>NLMK CLABECQ</v>
          </cell>
          <cell r="B128" t="str">
            <v>34341-N01</v>
          </cell>
          <cell r="C128" t="str">
            <v>34341</v>
          </cell>
          <cell r="D128" t="str">
            <v>Industrial Client</v>
          </cell>
          <cell r="E128" t="str">
            <v>rue de Clabecq</v>
          </cell>
          <cell r="F128">
            <v>101</v>
          </cell>
          <cell r="G128">
            <v>1460</v>
          </cell>
          <cell r="H128" t="str">
            <v>ITTRE</v>
          </cell>
          <cell r="I128" t="str">
            <v>NLMK CLABECQ</v>
          </cell>
          <cell r="J128" t="str">
            <v>004733</v>
          </cell>
          <cell r="K128" t="str">
            <v>End User Domestic Exit Point IC</v>
          </cell>
          <cell r="L128" t="str">
            <v>L-Zone</v>
          </cell>
          <cell r="M128">
            <v>1</v>
          </cell>
          <cell r="N128">
            <v>0</v>
          </cell>
          <cell r="O128">
            <v>0</v>
          </cell>
          <cell r="Q128">
            <v>0</v>
          </cell>
          <cell r="S128" t="str">
            <v>22ZFL004733----V</v>
          </cell>
        </row>
        <row r="129">
          <cell r="A129" t="str">
            <v xml:space="preserve">NLMK II LA LOUVIERE </v>
          </cell>
          <cell r="B129" t="str">
            <v>61245-N01</v>
          </cell>
          <cell r="C129" t="str">
            <v>61245</v>
          </cell>
          <cell r="D129" t="str">
            <v>Industrial Client</v>
          </cell>
          <cell r="E129" t="str">
            <v>Rue des rivaux</v>
          </cell>
          <cell r="F129">
            <v>2</v>
          </cell>
          <cell r="G129">
            <v>7100</v>
          </cell>
          <cell r="H129" t="str">
            <v>LA LOUVIERE</v>
          </cell>
          <cell r="I129" t="str">
            <v xml:space="preserve">NLMK II LA LOUVIERE </v>
          </cell>
          <cell r="J129" t="str">
            <v>005907</v>
          </cell>
          <cell r="K129" t="str">
            <v>End User Domestic Exit Point IC</v>
          </cell>
          <cell r="L129" t="str">
            <v>H-Zone</v>
          </cell>
          <cell r="M129">
            <v>1</v>
          </cell>
          <cell r="N129">
            <v>0</v>
          </cell>
          <cell r="O129">
            <v>0</v>
          </cell>
          <cell r="Q129">
            <v>0</v>
          </cell>
          <cell r="S129" t="str">
            <v>22ZFL005907----3</v>
          </cell>
        </row>
        <row r="130">
          <cell r="A130" t="str">
            <v>NORBORD NV GENK</v>
          </cell>
          <cell r="B130" t="str">
            <v>15067-N01</v>
          </cell>
          <cell r="C130" t="str">
            <v>15067</v>
          </cell>
          <cell r="D130" t="str">
            <v>Industrial Client</v>
          </cell>
          <cell r="E130" t="str">
            <v>Eikelaarstraat</v>
          </cell>
          <cell r="F130">
            <v>33</v>
          </cell>
          <cell r="G130">
            <v>3600</v>
          </cell>
          <cell r="H130" t="str">
            <v>GENK</v>
          </cell>
          <cell r="I130" t="str">
            <v>NORBORD NV GENK</v>
          </cell>
          <cell r="J130" t="str">
            <v>005018</v>
          </cell>
          <cell r="K130" t="str">
            <v>End User Domestic Exit Point IC</v>
          </cell>
          <cell r="L130" t="str">
            <v>H-Zone</v>
          </cell>
          <cell r="M130">
            <v>1</v>
          </cell>
          <cell r="N130">
            <v>0</v>
          </cell>
          <cell r="O130">
            <v>0</v>
          </cell>
          <cell r="Q130">
            <v>0</v>
          </cell>
          <cell r="S130" t="str">
            <v>22ZFL005018----P</v>
          </cell>
        </row>
        <row r="131">
          <cell r="A131" t="str">
            <v>NYRSTAR BELGIUM NV BALEN</v>
          </cell>
          <cell r="B131" t="str">
            <v>11415-N01</v>
          </cell>
          <cell r="C131" t="str">
            <v>11415</v>
          </cell>
          <cell r="D131" t="str">
            <v>Industrial Client</v>
          </cell>
          <cell r="E131" t="str">
            <v>Zinkstraat</v>
          </cell>
          <cell r="F131">
            <v>1</v>
          </cell>
          <cell r="G131">
            <v>2490</v>
          </cell>
          <cell r="H131" t="str">
            <v>BALEN</v>
          </cell>
          <cell r="I131" t="str">
            <v>NYRSTAR BELGIUM NV BALEN</v>
          </cell>
          <cell r="J131" t="str">
            <v>114150</v>
          </cell>
          <cell r="K131" t="str">
            <v>End User Domestic Exit Point IC</v>
          </cell>
          <cell r="L131" t="str">
            <v>H-Zone</v>
          </cell>
          <cell r="M131">
            <v>1</v>
          </cell>
          <cell r="N131">
            <v>0</v>
          </cell>
          <cell r="O131">
            <v>0</v>
          </cell>
          <cell r="Q131">
            <v>0</v>
          </cell>
          <cell r="S131" t="str">
            <v>22ZFL114150----P</v>
          </cell>
          <cell r="T131" t="str">
            <v>01/09/2015 - Done</v>
          </cell>
        </row>
        <row r="132">
          <cell r="A132" t="str">
            <v>OILTANKING STOLTHAVEN ANTWERP</v>
          </cell>
          <cell r="B132" t="str">
            <v>21161-N01</v>
          </cell>
          <cell r="C132" t="str">
            <v>21161</v>
          </cell>
          <cell r="D132" t="str">
            <v>Industrial Client</v>
          </cell>
          <cell r="E132" t="str">
            <v>Scheldelaan 450 (Haven 623)</v>
          </cell>
          <cell r="F132">
            <v>450</v>
          </cell>
          <cell r="G132">
            <v>2040</v>
          </cell>
          <cell r="H132" t="str">
            <v>ANTWERPEN</v>
          </cell>
          <cell r="I132" t="str">
            <v>OILTANKING STOLTHAVEN ANTWERP</v>
          </cell>
          <cell r="J132" t="str">
            <v>211610</v>
          </cell>
          <cell r="K132" t="str">
            <v>End User Domestic Exit Point IC</v>
          </cell>
          <cell r="L132" t="str">
            <v>L-Zone</v>
          </cell>
          <cell r="M132">
            <v>1</v>
          </cell>
          <cell r="N132">
            <v>0</v>
          </cell>
          <cell r="O132">
            <v>0</v>
          </cell>
          <cell r="Q132">
            <v>0</v>
          </cell>
          <cell r="S132" t="str">
            <v>22ZFL211610----T</v>
          </cell>
        </row>
        <row r="133">
          <cell r="A133" t="str">
            <v>OLEON NV ERTVELDE</v>
          </cell>
          <cell r="B133" t="str">
            <v>42451-N01</v>
          </cell>
          <cell r="C133" t="str">
            <v>42451</v>
          </cell>
          <cell r="D133" t="str">
            <v>Industrial Client</v>
          </cell>
          <cell r="E133" t="str">
            <v>Assenedestraat</v>
          </cell>
          <cell r="F133">
            <v>2</v>
          </cell>
          <cell r="G133">
            <v>9940</v>
          </cell>
          <cell r="H133" t="str">
            <v>EVERGEM</v>
          </cell>
          <cell r="I133" t="str">
            <v>OLEON NV ERTVELDE</v>
          </cell>
          <cell r="J133" t="str">
            <v>004740</v>
          </cell>
          <cell r="K133" t="str">
            <v>End User Domestic Exit Point IC</v>
          </cell>
          <cell r="L133" t="str">
            <v>H-Zone</v>
          </cell>
          <cell r="M133">
            <v>1</v>
          </cell>
          <cell r="N133">
            <v>0</v>
          </cell>
          <cell r="O133">
            <v>0</v>
          </cell>
          <cell r="Q133">
            <v>0</v>
          </cell>
          <cell r="S133" t="str">
            <v>22ZFL004740----5</v>
          </cell>
        </row>
        <row r="134">
          <cell r="A134" t="str">
            <v>OMYA SA HARMIGNIES</v>
          </cell>
          <cell r="B134" t="str">
            <v>01823-N01</v>
          </cell>
          <cell r="C134" t="str">
            <v>1823</v>
          </cell>
          <cell r="D134" t="str">
            <v>Industrial Client</v>
          </cell>
          <cell r="E134" t="str">
            <v>Chaussée de Beaumont</v>
          </cell>
          <cell r="F134" t="str">
            <v>401 A</v>
          </cell>
          <cell r="G134">
            <v>7022</v>
          </cell>
          <cell r="H134" t="str">
            <v>HARMIGNIES</v>
          </cell>
          <cell r="I134" t="str">
            <v>OMYA SA HARMIGNIES</v>
          </cell>
          <cell r="J134" t="str">
            <v>18230</v>
          </cell>
          <cell r="K134" t="str">
            <v>End User Domestic Exit Point IC</v>
          </cell>
          <cell r="L134" t="str">
            <v>H-Zone</v>
          </cell>
          <cell r="M134">
            <v>1</v>
          </cell>
          <cell r="N134">
            <v>0</v>
          </cell>
          <cell r="O134">
            <v>0</v>
          </cell>
          <cell r="Q134">
            <v>0</v>
          </cell>
          <cell r="S134" t="str">
            <v>22ZFL18230-----Z</v>
          </cell>
        </row>
        <row r="135">
          <cell r="A135" t="str">
            <v>ORAFTI OREYE</v>
          </cell>
          <cell r="B135" t="str">
            <v>81263-N01</v>
          </cell>
          <cell r="C135" t="str">
            <v>81263</v>
          </cell>
          <cell r="D135" t="str">
            <v>Industrial Client</v>
          </cell>
          <cell r="E135" t="str">
            <v>Rue Louis Maréchal</v>
          </cell>
          <cell r="F135">
            <v>1</v>
          </cell>
          <cell r="G135">
            <v>4360</v>
          </cell>
          <cell r="H135" t="str">
            <v>OREYE</v>
          </cell>
          <cell r="I135" t="str">
            <v>ORAFTI OREYE</v>
          </cell>
          <cell r="J135" t="str">
            <v>005852</v>
          </cell>
          <cell r="K135" t="str">
            <v>End User Domestic Exit Point IC</v>
          </cell>
          <cell r="L135" t="str">
            <v>H-Zone</v>
          </cell>
          <cell r="M135">
            <v>1</v>
          </cell>
          <cell r="N135">
            <v>0</v>
          </cell>
          <cell r="O135">
            <v>0</v>
          </cell>
          <cell r="Q135">
            <v>0</v>
          </cell>
          <cell r="S135" t="str">
            <v>22ZFL005852----6</v>
          </cell>
        </row>
        <row r="136">
          <cell r="A136" t="str">
            <v>OSTEND BASIC CHEMICALS NV OOSTENDE</v>
          </cell>
          <cell r="B136" t="str">
            <v>41295-N01</v>
          </cell>
          <cell r="C136" t="str">
            <v>41295</v>
          </cell>
          <cell r="D136" t="str">
            <v>Industrial Client</v>
          </cell>
          <cell r="E136" t="str">
            <v>Stationsstraat</v>
          </cell>
          <cell r="F136">
            <v>123</v>
          </cell>
          <cell r="G136">
            <v>8400</v>
          </cell>
          <cell r="H136" t="str">
            <v>OOSTENDE</v>
          </cell>
          <cell r="I136" t="str">
            <v>OSTEND BASIC CHEMICALS NV OOSTENDE</v>
          </cell>
          <cell r="J136" t="str">
            <v>005019</v>
          </cell>
          <cell r="K136" t="str">
            <v>End User Domestic Exit Point IC</v>
          </cell>
          <cell r="L136" t="str">
            <v>H-Zone</v>
          </cell>
          <cell r="M136">
            <v>1</v>
          </cell>
          <cell r="N136">
            <v>0</v>
          </cell>
          <cell r="O136">
            <v>0</v>
          </cell>
          <cell r="Q136">
            <v>0</v>
          </cell>
          <cell r="S136" t="str">
            <v>22ZFL005019----J</v>
          </cell>
        </row>
        <row r="137">
          <cell r="A137" t="str">
            <v>PANASONIC ENERGY BELGIUM TESSENDERLO</v>
          </cell>
          <cell r="B137" t="str">
            <v>12341-N01</v>
          </cell>
          <cell r="C137" t="str">
            <v>12341</v>
          </cell>
          <cell r="D137" t="str">
            <v>Industrial Client</v>
          </cell>
          <cell r="E137" t="str">
            <v>Havenlaan</v>
          </cell>
          <cell r="F137">
            <v>6</v>
          </cell>
          <cell r="G137">
            <v>3980</v>
          </cell>
          <cell r="H137" t="str">
            <v>TESSENDERLO</v>
          </cell>
          <cell r="I137" t="str">
            <v>PANASONIC ENERGY BELGIUM TESSENDERLO</v>
          </cell>
          <cell r="J137" t="str">
            <v>123410</v>
          </cell>
          <cell r="K137" t="str">
            <v>End User Domestic Exit Point IC</v>
          </cell>
          <cell r="L137" t="str">
            <v>L-Zone</v>
          </cell>
          <cell r="M137">
            <v>1</v>
          </cell>
          <cell r="N137">
            <v>1</v>
          </cell>
          <cell r="O137">
            <v>0</v>
          </cell>
          <cell r="Q137">
            <v>0</v>
          </cell>
          <cell r="S137" t="str">
            <v>22ZFL123410----S</v>
          </cell>
        </row>
        <row r="138">
          <cell r="A138" t="str">
            <v>PITTSBURGH CORNING TESSENDERLO</v>
          </cell>
          <cell r="B138" t="str">
            <v>12331-N01</v>
          </cell>
          <cell r="C138" t="str">
            <v>12331</v>
          </cell>
          <cell r="D138" t="str">
            <v>Industrial Client</v>
          </cell>
          <cell r="E138" t="str">
            <v>Albertkade</v>
          </cell>
          <cell r="F138">
            <v>1</v>
          </cell>
          <cell r="G138">
            <v>3980</v>
          </cell>
          <cell r="H138" t="str">
            <v>TESSENDERLO</v>
          </cell>
          <cell r="I138" t="str">
            <v>PITTSBURGH CORNING TESSENDERLO</v>
          </cell>
          <cell r="J138" t="str">
            <v>004702</v>
          </cell>
          <cell r="K138" t="str">
            <v>End User Domestic Exit Point IC</v>
          </cell>
          <cell r="L138" t="str">
            <v>L-Zone</v>
          </cell>
          <cell r="M138">
            <v>1</v>
          </cell>
          <cell r="N138">
            <v>1</v>
          </cell>
          <cell r="O138">
            <v>0</v>
          </cell>
          <cell r="Q138">
            <v>0</v>
          </cell>
          <cell r="S138" t="str">
            <v>22ZFL004702----L</v>
          </cell>
        </row>
        <row r="139">
          <cell r="A139" t="str">
            <v>PP/ CHP ALCOBIOFUEL GENT</v>
          </cell>
          <cell r="B139" t="str">
            <v>42213-N02</v>
          </cell>
          <cell r="C139" t="str">
            <v>42223</v>
          </cell>
          <cell r="D139" t="str">
            <v>Combined Heat and Power</v>
          </cell>
          <cell r="E139" t="str">
            <v>Pleitstraat</v>
          </cell>
          <cell r="F139">
            <v>1</v>
          </cell>
          <cell r="G139">
            <v>9042</v>
          </cell>
          <cell r="H139" t="str">
            <v>GENT</v>
          </cell>
          <cell r="I139" t="str">
            <v>ALCOBIOFUEL GENT</v>
          </cell>
          <cell r="J139" t="str">
            <v>005927</v>
          </cell>
          <cell r="K139" t="str">
            <v>End User Domestic Exit Point IC</v>
          </cell>
          <cell r="L139" t="str">
            <v>H-Zone</v>
          </cell>
          <cell r="M139">
            <v>1</v>
          </cell>
          <cell r="N139">
            <v>0</v>
          </cell>
          <cell r="O139">
            <v>0</v>
          </cell>
          <cell r="Q139">
            <v>0</v>
          </cell>
          <cell r="S139" t="str">
            <v>22ZFL005927----Q</v>
          </cell>
        </row>
        <row r="140">
          <cell r="A140" t="str">
            <v>PP/ CHP CARGILL OIL PACKERS IZEGEM</v>
          </cell>
          <cell r="B140" t="str">
            <v>46029-N01</v>
          </cell>
          <cell r="C140" t="str">
            <v>46029</v>
          </cell>
          <cell r="D140" t="str">
            <v>Combined Heat and Power</v>
          </cell>
          <cell r="E140" t="str">
            <v>Prins Albertlaan (Zuidkaai)</v>
          </cell>
          <cell r="F140">
            <v>12</v>
          </cell>
          <cell r="G140">
            <v>8870</v>
          </cell>
          <cell r="H140" t="str">
            <v>IZEGEM</v>
          </cell>
          <cell r="I140" t="str">
            <v>PP/ CHP CARGILL OIL PACKERS IZEGEM</v>
          </cell>
          <cell r="J140" t="str">
            <v>005896</v>
          </cell>
          <cell r="K140" t="str">
            <v>End User Domestic Exit Point PP</v>
          </cell>
          <cell r="L140" t="str">
            <v>H-Zone</v>
          </cell>
          <cell r="M140">
            <v>1</v>
          </cell>
          <cell r="N140">
            <v>0</v>
          </cell>
          <cell r="O140">
            <v>0</v>
          </cell>
          <cell r="Q140">
            <v>0</v>
          </cell>
          <cell r="S140" t="str">
            <v>22ZFL005896----S</v>
          </cell>
        </row>
        <row r="141">
          <cell r="A141" t="str">
            <v>PP/ CHP GP ANTWERPEN</v>
          </cell>
          <cell r="B141" t="str">
            <v>21625-N01</v>
          </cell>
          <cell r="C141" t="str">
            <v>21625</v>
          </cell>
          <cell r="D141" t="str">
            <v>Combined Heat and Power</v>
          </cell>
          <cell r="E141" t="str">
            <v>Scheldelaan (Haven 663)</v>
          </cell>
          <cell r="F141">
            <v>490</v>
          </cell>
          <cell r="G141">
            <v>2040</v>
          </cell>
          <cell r="H141" t="str">
            <v>ANTWERPEN</v>
          </cell>
          <cell r="I141" t="str">
            <v>PP/ CHP GP ANTWERPEN</v>
          </cell>
          <cell r="J141" t="str">
            <v>005938</v>
          </cell>
          <cell r="K141" t="str">
            <v>End User Domestic Exit Point PP</v>
          </cell>
          <cell r="L141" t="str">
            <v>H-Zone</v>
          </cell>
          <cell r="M141">
            <v>1</v>
          </cell>
          <cell r="N141">
            <v>0</v>
          </cell>
          <cell r="O141">
            <v>0</v>
          </cell>
          <cell r="Q141">
            <v>0</v>
          </cell>
          <cell r="S141" t="str">
            <v>22ZFL005938----D</v>
          </cell>
        </row>
        <row r="142">
          <cell r="A142" t="str">
            <v>PP/ CHP OLEON ERTVELDE</v>
          </cell>
          <cell r="B142" t="str">
            <v>42457-N01</v>
          </cell>
          <cell r="C142" t="str">
            <v>42457</v>
          </cell>
          <cell r="D142" t="str">
            <v>Combined Heat and Power</v>
          </cell>
          <cell r="E142" t="str">
            <v>Assenedestraat</v>
          </cell>
          <cell r="F142">
            <v>2</v>
          </cell>
          <cell r="G142">
            <v>9940</v>
          </cell>
          <cell r="H142" t="str">
            <v>EVERGEM</v>
          </cell>
          <cell r="I142" t="str">
            <v>OLEON NV ERTVELDE</v>
          </cell>
          <cell r="J142" t="str">
            <v>004740</v>
          </cell>
          <cell r="K142" t="str">
            <v>End User Domestic Exit Point IC</v>
          </cell>
          <cell r="L142" t="str">
            <v>H-Zone</v>
          </cell>
          <cell r="M142">
            <v>1</v>
          </cell>
          <cell r="N142">
            <v>0</v>
          </cell>
          <cell r="O142">
            <v>0</v>
          </cell>
          <cell r="Q142">
            <v>0</v>
          </cell>
          <cell r="S142" t="str">
            <v>22ZFL004740----5</v>
          </cell>
        </row>
        <row r="143">
          <cell r="A143" t="str">
            <v>PP/ CHP TEREOS SYRAL AALST</v>
          </cell>
          <cell r="B143" t="str">
            <v>41045-N01</v>
          </cell>
          <cell r="C143" t="str">
            <v>41045</v>
          </cell>
          <cell r="D143" t="str">
            <v>Combined Heat and Power</v>
          </cell>
          <cell r="E143" t="str">
            <v>Erembodegemstraat</v>
          </cell>
          <cell r="F143">
            <v>4</v>
          </cell>
          <cell r="G143">
            <v>9300</v>
          </cell>
          <cell r="H143" t="str">
            <v>AALST (WKK TATE EN LYLE)</v>
          </cell>
          <cell r="I143" t="str">
            <v>TEREOS STARCH &amp; SWEETENERS + CHP AALST</v>
          </cell>
          <cell r="J143" t="str">
            <v>004818</v>
          </cell>
          <cell r="K143" t="str">
            <v>End User Domestic Exit Point PP</v>
          </cell>
          <cell r="L143" t="str">
            <v>H-Zone</v>
          </cell>
          <cell r="M143">
            <v>1</v>
          </cell>
          <cell r="N143">
            <v>0</v>
          </cell>
          <cell r="O143">
            <v>0</v>
          </cell>
          <cell r="Q143">
            <v>0</v>
          </cell>
          <cell r="S143" t="str">
            <v>22ZFL004818----7</v>
          </cell>
        </row>
        <row r="144">
          <cell r="A144" t="str">
            <v>PP/ DROGENBOS STEG</v>
          </cell>
          <cell r="B144" t="str">
            <v>30179-N01</v>
          </cell>
          <cell r="C144" t="str">
            <v>30179</v>
          </cell>
          <cell r="D144" t="str">
            <v>Electrical Power Plant</v>
          </cell>
          <cell r="E144" t="str">
            <v>De Bruyckerweg</v>
          </cell>
          <cell r="F144">
            <v>1</v>
          </cell>
          <cell r="G144">
            <v>1620</v>
          </cell>
          <cell r="H144" t="str">
            <v>DROGENBOS</v>
          </cell>
          <cell r="I144" t="str">
            <v>PP/ DROGENBOS (CC)</v>
          </cell>
          <cell r="J144" t="str">
            <v>004817</v>
          </cell>
          <cell r="K144" t="str">
            <v>End User Domestic Exit Point PP</v>
          </cell>
          <cell r="L144" t="str">
            <v>H-Zone</v>
          </cell>
          <cell r="M144">
            <v>1</v>
          </cell>
          <cell r="N144">
            <v>0</v>
          </cell>
          <cell r="O144">
            <v>0</v>
          </cell>
          <cell r="Q144">
            <v>0</v>
          </cell>
          <cell r="S144" t="str">
            <v>22ZFL004817----D</v>
          </cell>
        </row>
        <row r="145">
          <cell r="A145" t="str">
            <v>PP/ EBL RODENHUIZE</v>
          </cell>
          <cell r="B145" t="str">
            <v>42227-N01</v>
          </cell>
          <cell r="C145" t="str">
            <v>42227</v>
          </cell>
          <cell r="D145" t="str">
            <v>Electrical Power Plant</v>
          </cell>
          <cell r="E145" t="str">
            <v>Rodenhuizekaai</v>
          </cell>
          <cell r="F145">
            <v>3</v>
          </cell>
          <cell r="G145">
            <v>9042</v>
          </cell>
          <cell r="H145" t="str">
            <v>DESTELDONK</v>
          </cell>
          <cell r="I145" t="str">
            <v>PP/ EBL RODENHUIZE</v>
          </cell>
          <cell r="J145" t="str">
            <v>005933</v>
          </cell>
          <cell r="K145" t="str">
            <v>End User Domestic Exit Point PP</v>
          </cell>
          <cell r="L145" t="str">
            <v>H-Zone</v>
          </cell>
          <cell r="M145">
            <v>1</v>
          </cell>
          <cell r="N145">
            <v>0</v>
          </cell>
          <cell r="O145">
            <v>0</v>
          </cell>
          <cell r="Q145">
            <v>0</v>
          </cell>
          <cell r="S145" t="str">
            <v>22ZFL005933----6</v>
          </cell>
        </row>
        <row r="146">
          <cell r="A146" t="str">
            <v>PP/ EDF LUMINUS ANGLEUR</v>
          </cell>
          <cell r="B146" t="str">
            <v>83097-N02</v>
          </cell>
          <cell r="C146" t="str">
            <v>83091</v>
          </cell>
          <cell r="D146" t="str">
            <v>Electrical Power Plant</v>
          </cell>
          <cell r="E146" t="str">
            <v>Rue de Fechereux</v>
          </cell>
          <cell r="F146">
            <v>43</v>
          </cell>
          <cell r="G146">
            <v>4031</v>
          </cell>
          <cell r="H146" t="str">
            <v>ANGLEUR</v>
          </cell>
          <cell r="I146" t="str">
            <v>PP/ EDF LUMINUS ANGLEUR</v>
          </cell>
          <cell r="J146" t="str">
            <v>004827</v>
          </cell>
          <cell r="K146" t="str">
            <v>End User Domestic Exit Point PP</v>
          </cell>
          <cell r="L146" t="str">
            <v>H-Zone</v>
          </cell>
          <cell r="M146">
            <v>1</v>
          </cell>
          <cell r="N146">
            <v>0</v>
          </cell>
          <cell r="O146">
            <v>0</v>
          </cell>
          <cell r="Q146">
            <v>0</v>
          </cell>
          <cell r="S146" t="str">
            <v>22ZFL004827----6</v>
          </cell>
        </row>
        <row r="147">
          <cell r="A147" t="str">
            <v>PP/ EDF LUMINUS GENT HAM (CC)</v>
          </cell>
          <cell r="B147" t="str">
            <v>42499-N01</v>
          </cell>
          <cell r="C147" t="str">
            <v>42499</v>
          </cell>
          <cell r="D147" t="str">
            <v>Electrical Power Plant</v>
          </cell>
          <cell r="E147" t="str">
            <v>Ham</v>
          </cell>
          <cell r="F147">
            <v>68</v>
          </cell>
          <cell r="G147">
            <v>9000</v>
          </cell>
          <cell r="H147" t="str">
            <v>GENT</v>
          </cell>
          <cell r="I147" t="str">
            <v>PP/ EDF LUMINUS GENT HAM (CC)</v>
          </cell>
          <cell r="J147" t="str">
            <v>004820</v>
          </cell>
          <cell r="K147" t="str">
            <v>End User Domestic Exit Point PP</v>
          </cell>
          <cell r="L147" t="str">
            <v>H-Zone</v>
          </cell>
          <cell r="M147">
            <v>1</v>
          </cell>
          <cell r="N147">
            <v>0</v>
          </cell>
          <cell r="O147">
            <v>0</v>
          </cell>
          <cell r="Q147">
            <v>1</v>
          </cell>
          <cell r="S147" t="str">
            <v>22ZFL004820----B</v>
          </cell>
        </row>
        <row r="148">
          <cell r="A148" t="str">
            <v>PP/ EDF LUMINUS LE VAL SERAING (CC)</v>
          </cell>
          <cell r="B148" t="str">
            <v>86853-N01</v>
          </cell>
          <cell r="C148" t="str">
            <v>86853</v>
          </cell>
          <cell r="D148" t="str">
            <v>Electrical Power Plant</v>
          </cell>
          <cell r="E148" t="str">
            <v>Rue du pont du Val</v>
          </cell>
          <cell r="F148" t="str">
            <v>1B</v>
          </cell>
          <cell r="G148">
            <v>4100</v>
          </cell>
          <cell r="H148" t="str">
            <v>SERAING</v>
          </cell>
          <cell r="I148" t="str">
            <v>PP/ EDF LUMINUS LE VAL SERAING (CC)</v>
          </cell>
          <cell r="J148" t="str">
            <v>004829</v>
          </cell>
          <cell r="K148" t="str">
            <v>End User Domestic Exit Point PP</v>
          </cell>
          <cell r="L148" t="str">
            <v>H-Zone</v>
          </cell>
          <cell r="M148">
            <v>1</v>
          </cell>
          <cell r="N148">
            <v>0</v>
          </cell>
          <cell r="O148">
            <v>0</v>
          </cell>
          <cell r="Q148">
            <v>0</v>
          </cell>
          <cell r="S148" t="str">
            <v>22ZFL004829----V</v>
          </cell>
        </row>
        <row r="149">
          <cell r="A149" t="str">
            <v>PP/ EDF LUMINUS RINGVAART GENT (CC)</v>
          </cell>
          <cell r="B149" t="str">
            <v>42351-N01</v>
          </cell>
          <cell r="C149" t="str">
            <v>42351</v>
          </cell>
          <cell r="D149" t="str">
            <v>Electrical Power Plant</v>
          </cell>
          <cell r="E149" t="str">
            <v>Buitenring Wondelgem</v>
          </cell>
          <cell r="F149">
            <v>10</v>
          </cell>
          <cell r="G149">
            <v>9000</v>
          </cell>
          <cell r="H149" t="str">
            <v>GENT</v>
          </cell>
          <cell r="I149" t="str">
            <v>PP/ EDF LUMINUS RINGVAART GENT (CC)</v>
          </cell>
          <cell r="J149" t="str">
            <v>004819</v>
          </cell>
          <cell r="K149" t="str">
            <v>End User Domestic Exit Point PP</v>
          </cell>
          <cell r="L149" t="str">
            <v>H-Zone</v>
          </cell>
          <cell r="M149">
            <v>1</v>
          </cell>
          <cell r="N149">
            <v>0</v>
          </cell>
          <cell r="O149">
            <v>0</v>
          </cell>
          <cell r="Q149">
            <v>0</v>
          </cell>
          <cell r="S149" t="str">
            <v>22ZFL004819----1</v>
          </cell>
        </row>
        <row r="150">
          <cell r="A150" t="str">
            <v xml:space="preserve">PP/ GENERATION BRUSSELS VILVOORDE </v>
          </cell>
          <cell r="B150" t="str">
            <v>07485-N01</v>
          </cell>
          <cell r="C150" t="str">
            <v>7485</v>
          </cell>
          <cell r="D150" t="str">
            <v>Electrical Power Plant</v>
          </cell>
          <cell r="E150" t="str">
            <v>Jan Frans Willemstraat</v>
          </cell>
          <cell r="F150">
            <v>200</v>
          </cell>
          <cell r="G150">
            <v>1800</v>
          </cell>
          <cell r="H150" t="str">
            <v>VILVOORDE</v>
          </cell>
          <cell r="I150" t="str">
            <v>PP/ EM GENERATION BRUSSELS VILVOORDE</v>
          </cell>
          <cell r="J150" t="str">
            <v>004980</v>
          </cell>
          <cell r="K150" t="str">
            <v>End User Domestic Exit Point PP</v>
          </cell>
          <cell r="L150" t="str">
            <v>H-Zone</v>
          </cell>
          <cell r="M150">
            <v>1</v>
          </cell>
          <cell r="N150">
            <v>0</v>
          </cell>
          <cell r="O150">
            <v>0</v>
          </cell>
          <cell r="Q150">
            <v>0</v>
          </cell>
          <cell r="S150" t="str">
            <v>22ZFL004980----Z</v>
          </cell>
        </row>
        <row r="151">
          <cell r="A151" t="str">
            <v>PP/ HERDERSBRUG BRUGGE (CC)</v>
          </cell>
          <cell r="B151" t="str">
            <v>07131-N01</v>
          </cell>
          <cell r="C151" t="str">
            <v>7131</v>
          </cell>
          <cell r="D151" t="str">
            <v>Electrical Power Plant</v>
          </cell>
          <cell r="E151" t="str">
            <v>Pathoekeweg</v>
          </cell>
          <cell r="F151">
            <v>300</v>
          </cell>
          <cell r="G151">
            <v>8000</v>
          </cell>
          <cell r="H151" t="str">
            <v>BRUGGE</v>
          </cell>
          <cell r="I151" t="str">
            <v>PP/ HERDERSBRUG BRUGGE (CC)</v>
          </cell>
          <cell r="J151" t="str">
            <v>004809</v>
          </cell>
          <cell r="K151" t="str">
            <v>End User Domestic Exit Point PP</v>
          </cell>
          <cell r="L151" t="str">
            <v>H-Zone</v>
          </cell>
          <cell r="M151">
            <v>1</v>
          </cell>
          <cell r="N151">
            <v>0</v>
          </cell>
          <cell r="O151">
            <v>0</v>
          </cell>
          <cell r="Q151">
            <v>0</v>
          </cell>
          <cell r="S151" t="str">
            <v>22ZFL004809----8</v>
          </cell>
        </row>
        <row r="152">
          <cell r="A152" t="str">
            <v>PP/ LES AWIRS</v>
          </cell>
          <cell r="B152" t="str">
            <v>86083-N01</v>
          </cell>
          <cell r="C152" t="str">
            <v>86083</v>
          </cell>
          <cell r="D152" t="str">
            <v>Electrical Power Plant</v>
          </cell>
          <cell r="E152" t="str">
            <v>Quai du Halage</v>
          </cell>
          <cell r="F152">
            <v>49</v>
          </cell>
          <cell r="G152">
            <v>4400</v>
          </cell>
          <cell r="H152" t="str">
            <v>FLEMALLE</v>
          </cell>
          <cell r="I152" t="str">
            <v>PP/ LES AWIRS</v>
          </cell>
          <cell r="J152" t="str">
            <v>004828</v>
          </cell>
          <cell r="K152" t="str">
            <v>End User Domestic Exit Point PP</v>
          </cell>
          <cell r="L152" t="str">
            <v>H-Zone</v>
          </cell>
          <cell r="M152">
            <v>1</v>
          </cell>
          <cell r="N152">
            <v>0</v>
          </cell>
          <cell r="O152">
            <v>0</v>
          </cell>
          <cell r="Q152">
            <v>0</v>
          </cell>
          <cell r="S152" t="str">
            <v>22ZFL004828----0</v>
          </cell>
        </row>
        <row r="153">
          <cell r="A153" t="str">
            <v>PP/ MARCINELLE ENERGIE</v>
          </cell>
          <cell r="B153" t="str">
            <v>63321-N01</v>
          </cell>
          <cell r="C153" t="str">
            <v>63321</v>
          </cell>
          <cell r="D153" t="str">
            <v>Electrical Power Plant</v>
          </cell>
          <cell r="E153" t="str">
            <v>Rue De La Providence</v>
          </cell>
          <cell r="F153">
            <v>150</v>
          </cell>
          <cell r="G153">
            <v>6030</v>
          </cell>
          <cell r="H153" t="str">
            <v>CHARLEROI</v>
          </cell>
          <cell r="I153" t="str">
            <v>PP/ MARCINELLE ENERGIE</v>
          </cell>
          <cell r="J153" t="str">
            <v>005934</v>
          </cell>
          <cell r="K153" t="str">
            <v>End User Domestic Exit Point PP</v>
          </cell>
          <cell r="L153" t="str">
            <v>H-Zone</v>
          </cell>
          <cell r="M153">
            <v>1</v>
          </cell>
          <cell r="N153">
            <v>0</v>
          </cell>
          <cell r="O153">
            <v>0</v>
          </cell>
          <cell r="Q153">
            <v>0</v>
          </cell>
          <cell r="S153" t="str">
            <v>22ZFL005934----0</v>
          </cell>
        </row>
        <row r="154">
          <cell r="A154" t="str">
            <v>PP/ ST.-GHISLAIN (CC)</v>
          </cell>
          <cell r="B154" t="str">
            <v>75751-N01</v>
          </cell>
          <cell r="C154" t="str">
            <v>75751</v>
          </cell>
          <cell r="D154" t="str">
            <v>Electrical Power Plant</v>
          </cell>
          <cell r="E154" t="str">
            <v>rue d'Hautrage</v>
          </cell>
          <cell r="F154">
            <v>87</v>
          </cell>
          <cell r="G154">
            <v>7331</v>
          </cell>
          <cell r="H154" t="str">
            <v>BAUDOUR</v>
          </cell>
          <cell r="I154" t="str">
            <v>PP/ ST.-GHISLAIN (CC)</v>
          </cell>
          <cell r="J154" t="str">
            <v>757510</v>
          </cell>
          <cell r="K154" t="str">
            <v>End User Domestic Exit Point PP</v>
          </cell>
          <cell r="L154" t="str">
            <v>H-Zone</v>
          </cell>
          <cell r="M154">
            <v>1</v>
          </cell>
          <cell r="N154">
            <v>0</v>
          </cell>
          <cell r="O154">
            <v>0</v>
          </cell>
          <cell r="Q154">
            <v>0</v>
          </cell>
          <cell r="S154" t="str">
            <v>22ZFL-757510---U</v>
          </cell>
        </row>
        <row r="155">
          <cell r="A155" t="str">
            <v>PP/AMERCOEUR AUXILIARIES ROUX</v>
          </cell>
          <cell r="B155" t="str">
            <v>55143-N02</v>
          </cell>
          <cell r="C155" t="str">
            <v>55147</v>
          </cell>
          <cell r="D155" t="str">
            <v>Electrical Power Plant</v>
          </cell>
          <cell r="E155" t="str">
            <v>rue Chauw à Roc</v>
          </cell>
          <cell r="F155">
            <v>6</v>
          </cell>
          <cell r="G155">
            <v>6044</v>
          </cell>
          <cell r="H155" t="str">
            <v>ROUX</v>
          </cell>
          <cell r="I155" t="str">
            <v>PP/ AMERCOEUR AUXILIARIES ROUX</v>
          </cell>
          <cell r="J155" t="str">
            <v>007139</v>
          </cell>
          <cell r="K155" t="str">
            <v>End User Domestic Exit Point PP</v>
          </cell>
          <cell r="L155" t="str">
            <v>H-Zone</v>
          </cell>
          <cell r="M155">
            <v>1</v>
          </cell>
          <cell r="N155">
            <v>1</v>
          </cell>
          <cell r="O155">
            <v>0</v>
          </cell>
          <cell r="Q155">
            <v>0</v>
          </cell>
          <cell r="S155" t="str">
            <v>22ZFL007139----G</v>
          </cell>
        </row>
        <row r="156">
          <cell r="A156" t="str">
            <v>PP/CHP COVESTRO ANTWERPEN</v>
          </cell>
          <cell r="B156" t="str">
            <v>21757-N01</v>
          </cell>
          <cell r="C156" t="str">
            <v>21757</v>
          </cell>
          <cell r="D156" t="str">
            <v>Combined Heat and Power</v>
          </cell>
          <cell r="E156" t="str">
            <v>Scheldelaan</v>
          </cell>
          <cell r="F156">
            <v>420</v>
          </cell>
          <cell r="G156">
            <v>2040</v>
          </cell>
          <cell r="H156" t="str">
            <v>ANTWERPEN</v>
          </cell>
          <cell r="I156" t="str">
            <v>LANXESS LILLO + PP/ CHP COVESTRO ANTWERPEN</v>
          </cell>
          <cell r="J156" t="str">
            <v>007349</v>
          </cell>
          <cell r="K156" t="str">
            <v>End User Domestic Exit Point PP</v>
          </cell>
          <cell r="L156" t="str">
            <v>H-Zone</v>
          </cell>
          <cell r="M156">
            <v>1</v>
          </cell>
          <cell r="N156">
            <v>0</v>
          </cell>
          <cell r="O156">
            <v>0</v>
          </cell>
          <cell r="Q156">
            <v>0</v>
          </cell>
          <cell r="S156" t="str">
            <v>22ZFL004839----O</v>
          </cell>
        </row>
        <row r="157">
          <cell r="A157" t="str">
            <v>PP/CHP EBL EVONIK DEGUSSA 2 ANTWERPEN</v>
          </cell>
          <cell r="B157" t="str">
            <v>21561-N03</v>
          </cell>
          <cell r="C157" t="str">
            <v>21569</v>
          </cell>
          <cell r="D157" t="str">
            <v>Combined Heat and Power</v>
          </cell>
          <cell r="E157" t="str">
            <v>Tijsmanstunnel West</v>
          </cell>
          <cell r="F157" t="str">
            <v>z/n</v>
          </cell>
          <cell r="G157">
            <v>2040</v>
          </cell>
          <cell r="H157" t="str">
            <v>ANTWERPEN</v>
          </cell>
          <cell r="I157" t="str">
            <v>EVONIK ANTWERPEN (80 barg)</v>
          </cell>
          <cell r="J157" t="str">
            <v>004718</v>
          </cell>
          <cell r="K157" t="str">
            <v>End User Domestic Exit Point IC</v>
          </cell>
          <cell r="L157" t="str">
            <v>H-Zone</v>
          </cell>
          <cell r="M157">
            <v>1</v>
          </cell>
          <cell r="N157">
            <v>0</v>
          </cell>
          <cell r="O157">
            <v>0</v>
          </cell>
          <cell r="Q157">
            <v>0</v>
          </cell>
          <cell r="S157" t="str">
            <v>22ZFL004718----F</v>
          </cell>
        </row>
        <row r="158">
          <cell r="A158" t="str">
            <v>PP/CHP EBL EVONIK DEGUSSA ANTWERPEN</v>
          </cell>
          <cell r="B158" t="str">
            <v>21561-N02</v>
          </cell>
          <cell r="C158" t="str">
            <v>21563</v>
          </cell>
          <cell r="D158" t="str">
            <v>Combined Heat and Power</v>
          </cell>
          <cell r="E158" t="str">
            <v>Tijsmanstunnel West</v>
          </cell>
          <cell r="F158" t="str">
            <v>z/n</v>
          </cell>
          <cell r="G158">
            <v>2040</v>
          </cell>
          <cell r="H158" t="str">
            <v>ANTWERPEN</v>
          </cell>
          <cell r="I158" t="str">
            <v>EVONIK ANTWERPEN (80 barg)</v>
          </cell>
          <cell r="J158" t="str">
            <v>004718</v>
          </cell>
          <cell r="K158" t="str">
            <v>End User Domestic Exit Point IC</v>
          </cell>
          <cell r="L158" t="str">
            <v>H-Zone</v>
          </cell>
          <cell r="M158">
            <v>1</v>
          </cell>
          <cell r="N158">
            <v>0</v>
          </cell>
          <cell r="O158">
            <v>0</v>
          </cell>
          <cell r="Q158">
            <v>0</v>
          </cell>
          <cell r="S158" t="str">
            <v>22ZFL004718----F</v>
          </cell>
        </row>
        <row r="159">
          <cell r="A159" t="str">
            <v>PP/CHP EBL ZWIJNDRECHT</v>
          </cell>
          <cell r="B159" t="str">
            <v>21311-N01</v>
          </cell>
          <cell r="C159" t="str">
            <v>21311</v>
          </cell>
          <cell r="D159" t="str">
            <v>Combined Heat and Power</v>
          </cell>
          <cell r="E159" t="str">
            <v>Canadastraat Haven 1009</v>
          </cell>
          <cell r="F159" t="str">
            <v>z/n</v>
          </cell>
          <cell r="G159">
            <v>2070</v>
          </cell>
          <cell r="H159" t="str">
            <v>ZWIJNDRECHT</v>
          </cell>
          <cell r="I159" t="str">
            <v>PP/CHP EBL ZWIJNDRECHT</v>
          </cell>
          <cell r="J159" t="str">
            <v>005936</v>
          </cell>
          <cell r="K159" t="str">
            <v>End User Domestic Exit Point PP</v>
          </cell>
          <cell r="L159" t="str">
            <v>H-Zone</v>
          </cell>
          <cell r="M159">
            <v>1</v>
          </cell>
          <cell r="N159">
            <v>0</v>
          </cell>
          <cell r="O159">
            <v>0</v>
          </cell>
          <cell r="Q159">
            <v>0</v>
          </cell>
          <cell r="S159" t="str">
            <v>22ZFL005936----P</v>
          </cell>
        </row>
        <row r="160">
          <cell r="A160" t="str">
            <v>PP/CHP EDF LUMINUS IZEGEM</v>
          </cell>
          <cell r="B160" t="str">
            <v>46027-N01</v>
          </cell>
          <cell r="C160" t="str">
            <v>46027</v>
          </cell>
          <cell r="D160" t="str">
            <v>Combined Heat and Power</v>
          </cell>
          <cell r="E160" t="str">
            <v>Noordkaai poort F</v>
          </cell>
          <cell r="F160" t="str">
            <v>z/n</v>
          </cell>
          <cell r="G160">
            <v>8870</v>
          </cell>
          <cell r="H160" t="str">
            <v>IZEGEM</v>
          </cell>
          <cell r="I160" t="str">
            <v>PP/CHP EDF LUMINUS IZEGEM</v>
          </cell>
          <cell r="J160" t="str">
            <v>004822</v>
          </cell>
          <cell r="K160" t="str">
            <v>End User Domestic Exit Point PP</v>
          </cell>
          <cell r="L160" t="str">
            <v>H-Zone</v>
          </cell>
          <cell r="M160">
            <v>1</v>
          </cell>
          <cell r="N160">
            <v>0</v>
          </cell>
          <cell r="O160">
            <v>0</v>
          </cell>
          <cell r="Q160">
            <v>0</v>
          </cell>
          <cell r="S160" t="str">
            <v>22ZFL-004822---L</v>
          </cell>
        </row>
        <row r="161">
          <cell r="A161" t="str">
            <v>PP/CHP INEOS OXIDE UTILITIES NV ZWIJNDRECHT</v>
          </cell>
          <cell r="B161" t="str">
            <v>04221-N01</v>
          </cell>
          <cell r="C161" t="str">
            <v>4221</v>
          </cell>
          <cell r="D161" t="str">
            <v>Combined Heat and Power</v>
          </cell>
          <cell r="E161" t="str">
            <v>Haven 1053 - Nieuwe Weg</v>
          </cell>
          <cell r="F161">
            <v>1</v>
          </cell>
          <cell r="G161">
            <v>2070</v>
          </cell>
          <cell r="H161" t="str">
            <v>ZWIJNDRECHT</v>
          </cell>
          <cell r="I161" t="str">
            <v>INEOS NV + PP/CHP INEOS OXIDE UTILITIES NV ZWIJNDRECHT</v>
          </cell>
          <cell r="J161" t="str">
            <v>005909</v>
          </cell>
          <cell r="K161" t="str">
            <v>End User Domestic Exit Point PP</v>
          </cell>
          <cell r="L161" t="str">
            <v>H-Zone</v>
          </cell>
          <cell r="M161">
            <v>1</v>
          </cell>
          <cell r="N161">
            <v>0</v>
          </cell>
          <cell r="O161">
            <v>0</v>
          </cell>
          <cell r="Q161">
            <v>0</v>
          </cell>
          <cell r="S161" t="str">
            <v>22ZFL005909----S</v>
          </cell>
        </row>
        <row r="162">
          <cell r="A162" t="str">
            <v>PP/CHP INEOS PHENOL DOEL</v>
          </cell>
          <cell r="B162" t="str">
            <v>21455-N01</v>
          </cell>
          <cell r="C162" t="str">
            <v>21455</v>
          </cell>
          <cell r="D162" t="str">
            <v>Combined Heat and Power</v>
          </cell>
          <cell r="E162" t="str">
            <v>Haven 1930 - Geslecht</v>
          </cell>
          <cell r="F162">
            <v>1</v>
          </cell>
          <cell r="G162">
            <v>9130</v>
          </cell>
          <cell r="H162" t="str">
            <v>DOEL</v>
          </cell>
          <cell r="I162" t="str">
            <v>INEOS PHENOL DOEL</v>
          </cell>
          <cell r="J162" t="str">
            <v>005564</v>
          </cell>
          <cell r="K162" t="str">
            <v>End User Domestic Exit Point PP</v>
          </cell>
          <cell r="L162" t="str">
            <v>H-Zone</v>
          </cell>
          <cell r="M162">
            <v>1</v>
          </cell>
          <cell r="N162">
            <v>0</v>
          </cell>
          <cell r="O162">
            <v>0</v>
          </cell>
          <cell r="Q162">
            <v>0</v>
          </cell>
          <cell r="S162" t="str">
            <v>22ZFL005564----B</v>
          </cell>
        </row>
        <row r="163">
          <cell r="A163" t="str">
            <v>PP/CHP INOVYN JEMEPPE</v>
          </cell>
          <cell r="B163" t="str">
            <v>52293-N01</v>
          </cell>
          <cell r="C163" t="str">
            <v>52293</v>
          </cell>
          <cell r="D163" t="str">
            <v>Combined Heat and Power</v>
          </cell>
          <cell r="E163" t="str">
            <v>rue de Solvay</v>
          </cell>
          <cell r="F163">
            <v>39</v>
          </cell>
          <cell r="G163">
            <v>5190</v>
          </cell>
          <cell r="H163" t="str">
            <v>JEMEPPE-SUR-SAMBRE</v>
          </cell>
          <cell r="I163" t="str">
            <v>PP/CHP INOVYN JEMEPPE</v>
          </cell>
          <cell r="J163" t="str">
            <v>522930</v>
          </cell>
          <cell r="K163" t="str">
            <v>End User Domestic Exit Point PP</v>
          </cell>
          <cell r="L163" t="str">
            <v>H-Zone</v>
          </cell>
          <cell r="M163">
            <v>1</v>
          </cell>
          <cell r="N163">
            <v>0</v>
          </cell>
          <cell r="O163">
            <v>0</v>
          </cell>
          <cell r="Q163">
            <v>0</v>
          </cell>
          <cell r="S163" t="str">
            <v>22ZFL522930----D</v>
          </cell>
        </row>
        <row r="164">
          <cell r="A164" t="str">
            <v>PP/CHP MONSANTO ANTWERPEN</v>
          </cell>
          <cell r="B164" t="str">
            <v>21581-N02</v>
          </cell>
          <cell r="C164" t="str">
            <v>21583</v>
          </cell>
          <cell r="D164" t="str">
            <v>Combined Heat and Power</v>
          </cell>
          <cell r="E164" t="str">
            <v>Scheldelaan</v>
          </cell>
          <cell r="F164">
            <v>630</v>
          </cell>
          <cell r="G164">
            <v>2040</v>
          </cell>
          <cell r="H164" t="str">
            <v>ANTWERPEN</v>
          </cell>
          <cell r="I164" t="str">
            <v>MONSANTO ANTWERPEN</v>
          </cell>
          <cell r="J164" t="str">
            <v>004719</v>
          </cell>
          <cell r="K164" t="str">
            <v>End User Domestic Exit Point IC</v>
          </cell>
          <cell r="L164" t="str">
            <v>H-Zone</v>
          </cell>
          <cell r="M164">
            <v>1</v>
          </cell>
          <cell r="N164">
            <v>0</v>
          </cell>
          <cell r="O164">
            <v>0</v>
          </cell>
          <cell r="Q164">
            <v>0</v>
          </cell>
          <cell r="S164" t="str">
            <v>57ZFL007385----E</v>
          </cell>
        </row>
        <row r="165">
          <cell r="A165" t="str">
            <v>PP/CHP OUDEGEM PAPIER</v>
          </cell>
          <cell r="B165" t="str">
            <v>49577-N01</v>
          </cell>
          <cell r="C165" t="str">
            <v>49577</v>
          </cell>
          <cell r="D165" t="str">
            <v>Combined Heat and Power</v>
          </cell>
          <cell r="E165" t="str">
            <v>Oude Baan</v>
          </cell>
          <cell r="F165">
            <v>120</v>
          </cell>
          <cell r="G165">
            <v>9200</v>
          </cell>
          <cell r="H165" t="str">
            <v>DENDENRMONDE</v>
          </cell>
          <cell r="I165" t="str">
            <v>PP/CHP OUDEGEM PAPIER</v>
          </cell>
          <cell r="J165" t="str">
            <v>004834</v>
          </cell>
          <cell r="K165" t="str">
            <v>End User Domestic Exit Point PP</v>
          </cell>
          <cell r="L165" t="str">
            <v>H-Zone</v>
          </cell>
          <cell r="M165">
            <v>1</v>
          </cell>
          <cell r="N165">
            <v>0</v>
          </cell>
          <cell r="O165">
            <v>0</v>
          </cell>
          <cell r="Q165">
            <v>0</v>
          </cell>
          <cell r="S165" t="str">
            <v>22ZFL004834----H</v>
          </cell>
        </row>
        <row r="166">
          <cell r="A166" t="str">
            <v>PP/CHP SAPPI LANAKEN</v>
          </cell>
          <cell r="B166" t="str">
            <v>15241-N02</v>
          </cell>
          <cell r="C166" t="str">
            <v>15243</v>
          </cell>
          <cell r="D166" t="str">
            <v>Combined Heat and Power</v>
          </cell>
          <cell r="E166" t="str">
            <v>MONTAIGNEWEG</v>
          </cell>
          <cell r="F166">
            <v>2</v>
          </cell>
          <cell r="G166">
            <v>3620</v>
          </cell>
          <cell r="H166" t="str">
            <v>LANAKEN</v>
          </cell>
          <cell r="I166" t="str">
            <v>SAPPI LANAKEN</v>
          </cell>
          <cell r="J166" t="str">
            <v>004707</v>
          </cell>
          <cell r="K166" t="str">
            <v>End User Domestic Exit Point IC</v>
          </cell>
          <cell r="L166" t="str">
            <v>H-Zone</v>
          </cell>
          <cell r="M166">
            <v>1</v>
          </cell>
          <cell r="N166">
            <v>0</v>
          </cell>
          <cell r="O166">
            <v>0</v>
          </cell>
          <cell r="Q166">
            <v>0</v>
          </cell>
          <cell r="S166" t="str">
            <v>22ZFL004707----S</v>
          </cell>
        </row>
        <row r="167">
          <cell r="A167" t="str">
            <v>PP/CHP TOTAL RAFFINADERIJ ANTWERPEN</v>
          </cell>
          <cell r="B167" t="str">
            <v>21761-N01</v>
          </cell>
          <cell r="C167" t="str">
            <v>21761</v>
          </cell>
          <cell r="D167" t="str">
            <v>Combined Heat and Power</v>
          </cell>
          <cell r="E167" t="str">
            <v>scheldelaan</v>
          </cell>
          <cell r="F167">
            <v>16</v>
          </cell>
          <cell r="G167">
            <v>2030</v>
          </cell>
          <cell r="H167" t="str">
            <v>ANTWERPEN</v>
          </cell>
          <cell r="I167" t="str">
            <v>PP/CHP TOTAL RAFFINADERIJ ANTWERPEN</v>
          </cell>
          <cell r="J167" t="str">
            <v>004815</v>
          </cell>
          <cell r="K167" t="str">
            <v>End User Domestic Exit Point PP</v>
          </cell>
          <cell r="L167" t="str">
            <v>H-Zone</v>
          </cell>
          <cell r="M167">
            <v>1</v>
          </cell>
          <cell r="N167">
            <v>0</v>
          </cell>
          <cell r="O167">
            <v>0</v>
          </cell>
          <cell r="Q167">
            <v>0</v>
          </cell>
          <cell r="S167" t="str">
            <v>22ZFL004815----P</v>
          </cell>
        </row>
        <row r="168">
          <cell r="A168" t="str">
            <v>PP/EBL AMERCOEUR 3</v>
          </cell>
          <cell r="B168" t="str">
            <v>55143-N01</v>
          </cell>
          <cell r="C168" t="str">
            <v>55143</v>
          </cell>
          <cell r="D168" t="str">
            <v>Electrical Power Plant</v>
          </cell>
          <cell r="E168" t="str">
            <v>Rue Chauw-à-Roc</v>
          </cell>
          <cell r="F168" t="str">
            <v>z/n</v>
          </cell>
          <cell r="G168">
            <v>6044</v>
          </cell>
          <cell r="H168" t="str">
            <v>ROUX</v>
          </cell>
          <cell r="I168" t="str">
            <v>PP/ EBL AMERCOEUR 3</v>
          </cell>
          <cell r="J168" t="str">
            <v>005941</v>
          </cell>
          <cell r="K168" t="str">
            <v>End User Domestic Exit Point PP</v>
          </cell>
          <cell r="L168" t="str">
            <v>H-Zone</v>
          </cell>
          <cell r="M168">
            <v>1</v>
          </cell>
          <cell r="N168">
            <v>0</v>
          </cell>
          <cell r="O168">
            <v>0</v>
          </cell>
          <cell r="Q168">
            <v>0</v>
          </cell>
          <cell r="S168" t="str">
            <v>22ZFL005941----B</v>
          </cell>
        </row>
        <row r="169">
          <cell r="A169" t="str">
            <v>PP/EBL ZELZATE</v>
          </cell>
          <cell r="B169" t="str">
            <v>42211-N01</v>
          </cell>
          <cell r="C169" t="str">
            <v>42211</v>
          </cell>
          <cell r="D169" t="str">
            <v>Electrical Power Plant</v>
          </cell>
          <cell r="E169" t="str">
            <v>Knippegroen</v>
          </cell>
          <cell r="F169">
            <v>3</v>
          </cell>
          <cell r="G169">
            <v>9042</v>
          </cell>
          <cell r="H169" t="str">
            <v>SINT-KRUISWINKEL</v>
          </cell>
          <cell r="I169" t="str">
            <v>PP/ EBL ZELZATE</v>
          </cell>
          <cell r="J169" t="str">
            <v>005940</v>
          </cell>
          <cell r="K169" t="str">
            <v>End User Domestic Exit Point PP</v>
          </cell>
          <cell r="L169" t="str">
            <v>H-Zone</v>
          </cell>
          <cell r="M169">
            <v>1</v>
          </cell>
          <cell r="N169">
            <v>0</v>
          </cell>
          <cell r="O169">
            <v>0</v>
          </cell>
          <cell r="Q169">
            <v>0</v>
          </cell>
          <cell r="S169" t="str">
            <v>22ZFL005940----H</v>
          </cell>
        </row>
        <row r="170">
          <cell r="A170" t="str">
            <v>PP/EDF LUMINUS ANGLEUR TG4</v>
          </cell>
          <cell r="B170" t="str">
            <v>83097-N01</v>
          </cell>
          <cell r="C170" t="str">
            <v>83097</v>
          </cell>
          <cell r="D170" t="str">
            <v>Electrical Power Plant</v>
          </cell>
          <cell r="E170" t="str">
            <v>Rue de Fechereux</v>
          </cell>
          <cell r="F170">
            <v>43</v>
          </cell>
          <cell r="G170">
            <v>4031</v>
          </cell>
          <cell r="H170" t="str">
            <v>ANGLEUR</v>
          </cell>
          <cell r="I170" t="str">
            <v>PP/ EDF LUMINUS ANGLEUR</v>
          </cell>
          <cell r="J170" t="str">
            <v>004827</v>
          </cell>
          <cell r="K170" t="str">
            <v>End User Domestic Exit Point PP</v>
          </cell>
          <cell r="L170" t="str">
            <v>H-Zone</v>
          </cell>
          <cell r="M170">
            <v>1</v>
          </cell>
          <cell r="N170">
            <v>0</v>
          </cell>
          <cell r="O170">
            <v>0</v>
          </cell>
          <cell r="Q170">
            <v>0</v>
          </cell>
          <cell r="S170" t="str">
            <v>22ZFL004827----6</v>
          </cell>
        </row>
        <row r="171">
          <cell r="A171" t="str">
            <v>PP/T-POWER TESSENDERLO</v>
          </cell>
          <cell r="B171" t="str">
            <v>12061-N01</v>
          </cell>
          <cell r="C171" t="str">
            <v>12061</v>
          </cell>
          <cell r="D171" t="str">
            <v>Electrical Power Plant</v>
          </cell>
          <cell r="E171" t="str">
            <v>Fabriekstraat</v>
          </cell>
          <cell r="F171" t="str">
            <v>zn</v>
          </cell>
          <cell r="G171">
            <v>3980</v>
          </cell>
          <cell r="H171" t="str">
            <v>TESSENDERLO</v>
          </cell>
          <cell r="I171" t="str">
            <v>PP/T-POWER TESSENDERLO</v>
          </cell>
          <cell r="J171" t="str">
            <v>005955</v>
          </cell>
          <cell r="K171" t="str">
            <v>End User Domestic Exit Point PP</v>
          </cell>
          <cell r="L171" t="str">
            <v>H-Zone</v>
          </cell>
          <cell r="M171">
            <v>1</v>
          </cell>
          <cell r="N171">
            <v>0</v>
          </cell>
          <cell r="O171">
            <v>0</v>
          </cell>
          <cell r="Q171">
            <v>0</v>
          </cell>
          <cell r="S171" t="str">
            <v>22ZFL005955----H</v>
          </cell>
        </row>
        <row r="172">
          <cell r="A172" t="str">
            <v>PRAXAIR LILLO</v>
          </cell>
          <cell r="B172" t="str">
            <v>21641-N01</v>
          </cell>
          <cell r="C172" t="str">
            <v>21641</v>
          </cell>
          <cell r="D172" t="str">
            <v>Industrial Client</v>
          </cell>
          <cell r="E172" t="str">
            <v>Metropoolstraat</v>
          </cell>
          <cell r="F172">
            <v>17</v>
          </cell>
          <cell r="G172">
            <v>2900</v>
          </cell>
          <cell r="H172" t="str">
            <v>SCHOTEN</v>
          </cell>
          <cell r="I172" t="str">
            <v>PRAXAIR LILLO</v>
          </cell>
          <cell r="J172" t="str">
            <v>007296</v>
          </cell>
          <cell r="K172" t="str">
            <v>End User Domestic Exit Point IC</v>
          </cell>
          <cell r="L172" t="str">
            <v>H-Zone</v>
          </cell>
          <cell r="M172">
            <v>1</v>
          </cell>
          <cell r="N172">
            <v>0</v>
          </cell>
          <cell r="O172">
            <v>0</v>
          </cell>
          <cell r="Q172">
            <v>0</v>
          </cell>
          <cell r="S172" t="str">
            <v>57ZFL007296----9</v>
          </cell>
        </row>
        <row r="173">
          <cell r="A173" t="str">
            <v>PRAYON ENGIS</v>
          </cell>
          <cell r="B173" t="str">
            <v>86649-N01</v>
          </cell>
          <cell r="C173" t="str">
            <v>86649</v>
          </cell>
          <cell r="D173" t="str">
            <v>Industrial Client</v>
          </cell>
          <cell r="E173" t="str">
            <v>Rue Joseph Wauters</v>
          </cell>
          <cell r="F173">
            <v>144</v>
          </cell>
          <cell r="G173">
            <v>4480</v>
          </cell>
          <cell r="H173" t="str">
            <v>ENGIS</v>
          </cell>
          <cell r="I173" t="str">
            <v>PRAYON ENGIS</v>
          </cell>
          <cell r="J173" t="str">
            <v>004782</v>
          </cell>
          <cell r="K173" t="str">
            <v>End User Domestic Exit Point IC</v>
          </cell>
          <cell r="L173" t="str">
            <v>H-Zone</v>
          </cell>
          <cell r="M173">
            <v>1</v>
          </cell>
          <cell r="N173">
            <v>1</v>
          </cell>
          <cell r="O173">
            <v>0</v>
          </cell>
          <cell r="Q173">
            <v>1</v>
          </cell>
          <cell r="S173" t="str">
            <v>22ZFL004782----2</v>
          </cell>
        </row>
        <row r="174">
          <cell r="A174" t="str">
            <v>PRAYON PUURS</v>
          </cell>
          <cell r="B174" t="str">
            <v>32571-N01</v>
          </cell>
          <cell r="C174" t="str">
            <v>32571</v>
          </cell>
          <cell r="D174" t="str">
            <v>Industrial Client</v>
          </cell>
          <cell r="E174" t="str">
            <v>Gansbroekstraat</v>
          </cell>
          <cell r="F174">
            <v>31</v>
          </cell>
          <cell r="G174">
            <v>2870</v>
          </cell>
          <cell r="H174" t="str">
            <v>PUURS</v>
          </cell>
          <cell r="I174" t="str">
            <v>PRAYON PUURS</v>
          </cell>
          <cell r="J174" t="str">
            <v>004730</v>
          </cell>
          <cell r="K174" t="str">
            <v>End User Domestic Exit Point IC</v>
          </cell>
          <cell r="L174" t="str">
            <v>L-Zone</v>
          </cell>
          <cell r="M174">
            <v>1</v>
          </cell>
          <cell r="N174">
            <v>1</v>
          </cell>
          <cell r="O174">
            <v>0</v>
          </cell>
          <cell r="Q174">
            <v>0</v>
          </cell>
          <cell r="S174" t="str">
            <v>22ZFL004730----C</v>
          </cell>
        </row>
        <row r="175">
          <cell r="A175" t="str">
            <v>RAPERIE DE LONGCHAMPS</v>
          </cell>
          <cell r="B175" t="str">
            <v>05441-N01</v>
          </cell>
          <cell r="C175" t="str">
            <v>5441</v>
          </cell>
          <cell r="D175" t="str">
            <v>Industrial Client</v>
          </cell>
          <cell r="E175" t="str">
            <v>Route De La Bruyère</v>
          </cell>
          <cell r="F175">
            <v>3</v>
          </cell>
          <cell r="G175">
            <v>5310</v>
          </cell>
          <cell r="H175" t="str">
            <v>EGHEZEE</v>
          </cell>
          <cell r="I175" t="str">
            <v>RAPERIE DE LONGCHAMPS</v>
          </cell>
          <cell r="J175" t="str">
            <v>005855</v>
          </cell>
          <cell r="K175" t="str">
            <v>End User Domestic Exit Point IC</v>
          </cell>
          <cell r="L175" t="str">
            <v>H-Zone</v>
          </cell>
          <cell r="M175">
            <v>1</v>
          </cell>
          <cell r="N175">
            <v>0</v>
          </cell>
          <cell r="O175">
            <v>0</v>
          </cell>
          <cell r="Q175">
            <v>0</v>
          </cell>
          <cell r="S175" t="str">
            <v>22ZFL005855----P</v>
          </cell>
        </row>
        <row r="176">
          <cell r="A176" t="str">
            <v>ROUSSELOT GENT</v>
          </cell>
          <cell r="B176" t="str">
            <v>42553-N01</v>
          </cell>
          <cell r="C176" t="str">
            <v>42553</v>
          </cell>
          <cell r="D176" t="str">
            <v>Industrial Client</v>
          </cell>
          <cell r="E176" t="str">
            <v>Meulestedekaai</v>
          </cell>
          <cell r="F176">
            <v>81</v>
          </cell>
          <cell r="G176">
            <v>9000</v>
          </cell>
          <cell r="H176" t="str">
            <v>GENT</v>
          </cell>
          <cell r="I176" t="str">
            <v>ROUSSELOT GENT</v>
          </cell>
          <cell r="J176" t="str">
            <v>004743</v>
          </cell>
          <cell r="K176" t="str">
            <v>End User Domestic Exit Point IC</v>
          </cell>
          <cell r="L176" t="str">
            <v>H-Zone</v>
          </cell>
          <cell r="M176">
            <v>1</v>
          </cell>
          <cell r="N176">
            <v>1</v>
          </cell>
          <cell r="O176">
            <v>0</v>
          </cell>
          <cell r="Q176">
            <v>1</v>
          </cell>
          <cell r="S176" t="str">
            <v>22ZFL004743----O</v>
          </cell>
        </row>
        <row r="177">
          <cell r="A177" t="str">
            <v>SADACI GENT</v>
          </cell>
          <cell r="B177" t="str">
            <v>42497-N01</v>
          </cell>
          <cell r="C177" t="str">
            <v>42497</v>
          </cell>
          <cell r="D177" t="str">
            <v>Industrial Client</v>
          </cell>
          <cell r="E177" t="str">
            <v>Langerbruggekaai</v>
          </cell>
          <cell r="F177">
            <v>13</v>
          </cell>
          <cell r="G177">
            <v>9000</v>
          </cell>
          <cell r="H177" t="str">
            <v>GENT</v>
          </cell>
          <cell r="I177" t="str">
            <v>SADACI GENT</v>
          </cell>
          <cell r="J177" t="str">
            <v>424970</v>
          </cell>
          <cell r="K177" t="str">
            <v>End User Domestic Exit Point IC</v>
          </cell>
          <cell r="L177" t="str">
            <v>H-Zone</v>
          </cell>
          <cell r="M177">
            <v>1</v>
          </cell>
          <cell r="N177">
            <v>0</v>
          </cell>
          <cell r="O177">
            <v>0</v>
          </cell>
          <cell r="Q177">
            <v>0</v>
          </cell>
          <cell r="S177" t="str">
            <v>22ZFL424970----F</v>
          </cell>
        </row>
        <row r="178">
          <cell r="A178" t="str">
            <v>SAFRAN AERO BOOSTERS MILMORT</v>
          </cell>
          <cell r="B178" t="str">
            <v>81155-N01</v>
          </cell>
          <cell r="C178" t="str">
            <v>81155</v>
          </cell>
          <cell r="D178" t="str">
            <v>Industrial Client</v>
          </cell>
          <cell r="E178" t="str">
            <v>Route de Liers</v>
          </cell>
          <cell r="F178">
            <v>121</v>
          </cell>
          <cell r="G178">
            <v>4041</v>
          </cell>
          <cell r="H178" t="str">
            <v>MILMORT</v>
          </cell>
          <cell r="I178" t="str">
            <v>SAFRAN AERO BOOSTERS MILMORT</v>
          </cell>
          <cell r="J178" t="str">
            <v>811550</v>
          </cell>
          <cell r="K178" t="str">
            <v>End User Domestic Exit Point IC</v>
          </cell>
          <cell r="L178" t="str">
            <v>H-Zone</v>
          </cell>
          <cell r="M178">
            <v>1</v>
          </cell>
          <cell r="N178">
            <v>0</v>
          </cell>
          <cell r="O178">
            <v>0</v>
          </cell>
          <cell r="Q178">
            <v>0</v>
          </cell>
          <cell r="S178" t="str">
            <v>22ZFL811550----H</v>
          </cell>
        </row>
        <row r="179">
          <cell r="A179" t="str">
            <v>SAINT GOBAIN CONSTRUCTION PRODUCTS BELGIUM NV KALLO</v>
          </cell>
          <cell r="B179" t="str">
            <v>42891-N01</v>
          </cell>
          <cell r="C179" t="str">
            <v>42891</v>
          </cell>
          <cell r="D179" t="str">
            <v>Industrial Client</v>
          </cell>
          <cell r="E179" t="str">
            <v>St Jansweg - Haven 1602</v>
          </cell>
          <cell r="F179">
            <v>9</v>
          </cell>
          <cell r="G179">
            <v>9130</v>
          </cell>
          <cell r="H179" t="str">
            <v>KALLO</v>
          </cell>
          <cell r="I179" t="str">
            <v>ST GOBAIN CONSTR. PROD. BELG. NV KALLO</v>
          </cell>
          <cell r="J179" t="str">
            <v>428910</v>
          </cell>
          <cell r="K179" t="str">
            <v>End User Domestic Exit Point IC</v>
          </cell>
          <cell r="L179" t="str">
            <v>H-Zone</v>
          </cell>
          <cell r="M179">
            <v>1</v>
          </cell>
          <cell r="N179">
            <v>0</v>
          </cell>
          <cell r="O179">
            <v>0</v>
          </cell>
          <cell r="Q179">
            <v>0</v>
          </cell>
          <cell r="S179" t="str">
            <v>22ZFL428910----L</v>
          </cell>
        </row>
        <row r="180">
          <cell r="A180" t="str">
            <v>SAPA RC PROFILES GHLIN</v>
          </cell>
          <cell r="B180" t="str">
            <v>74161-N01</v>
          </cell>
          <cell r="C180" t="str">
            <v>74161</v>
          </cell>
          <cell r="D180" t="str">
            <v>Industrial Client</v>
          </cell>
          <cell r="E180" t="str">
            <v>Route de Wallonie</v>
          </cell>
          <cell r="F180">
            <v>1</v>
          </cell>
          <cell r="G180">
            <v>7011</v>
          </cell>
          <cell r="H180" t="str">
            <v>GHLIN</v>
          </cell>
          <cell r="I180" t="str">
            <v>SAPA RC PROFILES GHLIN</v>
          </cell>
          <cell r="J180" t="str">
            <v>004772</v>
          </cell>
          <cell r="K180" t="str">
            <v>End User Domestic Exit Point IC</v>
          </cell>
          <cell r="L180" t="str">
            <v>H-Zone</v>
          </cell>
          <cell r="M180">
            <v>1</v>
          </cell>
          <cell r="N180">
            <v>1</v>
          </cell>
          <cell r="O180">
            <v>0</v>
          </cell>
          <cell r="Q180">
            <v>1</v>
          </cell>
          <cell r="S180" t="str">
            <v>22ZFL004772----9</v>
          </cell>
        </row>
        <row r="181">
          <cell r="A181" t="str">
            <v>SAPPI LANAKEN</v>
          </cell>
          <cell r="B181" t="str">
            <v>15241-N01</v>
          </cell>
          <cell r="C181" t="str">
            <v>15241</v>
          </cell>
          <cell r="D181" t="str">
            <v>Industrial Client</v>
          </cell>
          <cell r="E181" t="str">
            <v>Montaigneweg</v>
          </cell>
          <cell r="F181">
            <v>2</v>
          </cell>
          <cell r="G181">
            <v>3620</v>
          </cell>
          <cell r="H181" t="str">
            <v>LANAKEN</v>
          </cell>
          <cell r="I181" t="str">
            <v>SAPPI LANAKEN</v>
          </cell>
          <cell r="J181" t="str">
            <v>004707</v>
          </cell>
          <cell r="K181" t="str">
            <v>End User Domestic Exit Point IC</v>
          </cell>
          <cell r="L181" t="str">
            <v>H-Zone</v>
          </cell>
          <cell r="M181">
            <v>1</v>
          </cell>
          <cell r="N181">
            <v>0</v>
          </cell>
          <cell r="O181">
            <v>0</v>
          </cell>
          <cell r="Q181">
            <v>0</v>
          </cell>
          <cell r="S181" t="str">
            <v>22ZFL004707----S</v>
          </cell>
        </row>
        <row r="182">
          <cell r="A182" t="str">
            <v>SCJ STOVE WORKS SPRL COUVIN</v>
          </cell>
          <cell r="B182" t="str">
            <v>53271-N01</v>
          </cell>
          <cell r="C182" t="str">
            <v>53271</v>
          </cell>
          <cell r="D182" t="str">
            <v>Industrial Client</v>
          </cell>
          <cell r="E182" t="str">
            <v>Rue du Lion</v>
          </cell>
          <cell r="F182">
            <v>5</v>
          </cell>
          <cell r="G182">
            <v>5660</v>
          </cell>
          <cell r="H182" t="str">
            <v>COUVIN</v>
          </cell>
          <cell r="I182" t="str">
            <v>SCJ STOVE WORKS SPRL COUVIN</v>
          </cell>
          <cell r="J182" t="str">
            <v>532710</v>
          </cell>
          <cell r="K182" t="str">
            <v>End User Domestic Exit Point IC</v>
          </cell>
          <cell r="L182" t="str">
            <v>H-Zone</v>
          </cell>
          <cell r="M182">
            <v>1</v>
          </cell>
          <cell r="N182">
            <v>1</v>
          </cell>
          <cell r="O182">
            <v>0</v>
          </cell>
          <cell r="Q182">
            <v>1</v>
          </cell>
          <cell r="S182" t="str">
            <v>22ZFL532710----X</v>
          </cell>
        </row>
        <row r="183">
          <cell r="A183" t="str">
            <v>SEGAL SA IVOZ-RAMET</v>
          </cell>
          <cell r="B183" t="str">
            <v>86207-N02</v>
          </cell>
          <cell r="C183" t="str">
            <v>86213</v>
          </cell>
          <cell r="D183" t="str">
            <v>Industrial Client</v>
          </cell>
          <cell r="E183" t="str">
            <v>Chaussée de Ramioul</v>
          </cell>
          <cell r="F183">
            <v>50</v>
          </cell>
          <cell r="G183">
            <v>4400</v>
          </cell>
          <cell r="H183" t="str">
            <v>IVOZ-RAMET</v>
          </cell>
          <cell r="I183" t="str">
            <v>SEGAL SA IVOZ-RAMET</v>
          </cell>
          <cell r="J183" t="str">
            <v>007155</v>
          </cell>
          <cell r="K183" t="str">
            <v>End User Domestic Exit Point IC</v>
          </cell>
          <cell r="L183" t="str">
            <v>H-Zone</v>
          </cell>
          <cell r="M183">
            <v>1</v>
          </cell>
          <cell r="N183">
            <v>1</v>
          </cell>
          <cell r="O183">
            <v>0</v>
          </cell>
          <cell r="Q183">
            <v>1</v>
          </cell>
          <cell r="S183" t="str">
            <v>22ZFL007155----Q</v>
          </cell>
        </row>
        <row r="184">
          <cell r="A184" t="str">
            <v>SIBELCO LOMMEL</v>
          </cell>
          <cell r="B184" t="str">
            <v>11043-N01</v>
          </cell>
          <cell r="C184" t="str">
            <v>11043</v>
          </cell>
          <cell r="D184" t="str">
            <v>Industrial Client</v>
          </cell>
          <cell r="E184" t="str">
            <v>Industrieterrein - Maatheide</v>
          </cell>
          <cell r="F184">
            <v>125</v>
          </cell>
          <cell r="G184">
            <v>3920</v>
          </cell>
          <cell r="H184" t="str">
            <v>LOMMEL</v>
          </cell>
          <cell r="I184" t="str">
            <v>SIBELCO LOMMEL</v>
          </cell>
          <cell r="J184" t="str">
            <v>110430</v>
          </cell>
          <cell r="K184" t="str">
            <v>End User Domestic Exit Point IC</v>
          </cell>
          <cell r="L184" t="str">
            <v>H-Zone</v>
          </cell>
          <cell r="M184">
            <v>1</v>
          </cell>
          <cell r="N184">
            <v>0</v>
          </cell>
          <cell r="O184">
            <v>0</v>
          </cell>
          <cell r="Q184">
            <v>0</v>
          </cell>
          <cell r="S184" t="str">
            <v>22ZFL110430----E</v>
          </cell>
          <cell r="T184" t="str">
            <v>01/06/2016 - Done</v>
          </cell>
        </row>
        <row r="185">
          <cell r="A185" t="str">
            <v>SIBELCO MOL</v>
          </cell>
          <cell r="B185" t="str">
            <v>11441-N01</v>
          </cell>
          <cell r="C185" t="str">
            <v>11441</v>
          </cell>
          <cell r="D185" t="str">
            <v>Industrial Client</v>
          </cell>
          <cell r="E185" t="str">
            <v>De Zate</v>
          </cell>
          <cell r="F185">
            <v>1</v>
          </cell>
          <cell r="G185">
            <v>2480</v>
          </cell>
          <cell r="H185" t="str">
            <v>DESSEL</v>
          </cell>
          <cell r="I185" t="str">
            <v>SIBELCO MOL</v>
          </cell>
          <cell r="J185" t="str">
            <v>004696</v>
          </cell>
          <cell r="K185" t="str">
            <v>End User Domestic Exit Point IC</v>
          </cell>
          <cell r="L185" t="str">
            <v>L-Zone</v>
          </cell>
          <cell r="M185">
            <v>1</v>
          </cell>
          <cell r="N185">
            <v>0</v>
          </cell>
          <cell r="O185">
            <v>0</v>
          </cell>
          <cell r="Q185">
            <v>0</v>
          </cell>
          <cell r="S185" t="str">
            <v>22ZFL004696----G</v>
          </cell>
        </row>
        <row r="186">
          <cell r="A186" t="str">
            <v>SINTERCO MARCHE-LES-DAMES</v>
          </cell>
          <cell r="B186" t="str">
            <v>86773-N01</v>
          </cell>
          <cell r="C186" t="str">
            <v>86773</v>
          </cell>
          <cell r="D186" t="str">
            <v>Industrial Client</v>
          </cell>
          <cell r="E186" t="str">
            <v>Rue Haigniaux</v>
          </cell>
          <cell r="F186">
            <v>1</v>
          </cell>
          <cell r="G186">
            <v>5300</v>
          </cell>
          <cell r="H186" t="str">
            <v>NAMECHE</v>
          </cell>
          <cell r="I186" t="str">
            <v>SINTERCO SA MARCHE-LES-DAMES</v>
          </cell>
          <cell r="J186" t="str">
            <v>005931</v>
          </cell>
          <cell r="K186" t="str">
            <v>End User Domestic Exit Point IC</v>
          </cell>
          <cell r="L186" t="str">
            <v>H-Zone</v>
          </cell>
          <cell r="M186">
            <v>1</v>
          </cell>
          <cell r="N186">
            <v>1</v>
          </cell>
          <cell r="O186">
            <v>0</v>
          </cell>
          <cell r="Q186">
            <v>1</v>
          </cell>
          <cell r="S186" t="str">
            <v>22ZFL005931----I</v>
          </cell>
        </row>
        <row r="187">
          <cell r="A187" t="str">
            <v>SMURFIT KAPPA CARTOMILLS GHLIN</v>
          </cell>
          <cell r="B187" t="str">
            <v>73269-N01</v>
          </cell>
          <cell r="C187" t="str">
            <v>73269</v>
          </cell>
          <cell r="D187" t="str">
            <v>Industrial Client</v>
          </cell>
          <cell r="E187" t="str">
            <v>Rue de Douvrain 19</v>
          </cell>
          <cell r="F187">
            <v>19</v>
          </cell>
          <cell r="G187">
            <v>7011</v>
          </cell>
          <cell r="H187" t="str">
            <v>GHLIN</v>
          </cell>
          <cell r="I187" t="str">
            <v>SMURFIT KAPPA CARTOMILLS GHLIN</v>
          </cell>
          <cell r="J187" t="str">
            <v>732690</v>
          </cell>
          <cell r="K187" t="str">
            <v>End User Domestic Exit Point IC</v>
          </cell>
          <cell r="L187" t="str">
            <v>H-Zone</v>
          </cell>
          <cell r="M187">
            <v>1</v>
          </cell>
          <cell r="N187">
            <v>1</v>
          </cell>
          <cell r="O187">
            <v>0</v>
          </cell>
          <cell r="Q187">
            <v>1</v>
          </cell>
          <cell r="S187" t="str">
            <v>22ZFL732690----0</v>
          </cell>
        </row>
        <row r="188">
          <cell r="A188" t="str">
            <v>SNC MICHELMAN INT. AUBANGE</v>
          </cell>
          <cell r="B188" t="str">
            <v>87563-N01</v>
          </cell>
          <cell r="C188" t="str">
            <v>87563</v>
          </cell>
          <cell r="D188" t="str">
            <v>Industrial Client</v>
          </cell>
          <cell r="E188" t="str">
            <v>Avenue Champion (Zoning Industriel)</v>
          </cell>
          <cell r="F188">
            <v>8</v>
          </cell>
          <cell r="G188">
            <v>6790</v>
          </cell>
          <cell r="H188" t="str">
            <v>AUBANGE</v>
          </cell>
          <cell r="I188" t="str">
            <v>SNC MICHELMAN INT. AUBANGE</v>
          </cell>
          <cell r="J188" t="str">
            <v>875630</v>
          </cell>
          <cell r="K188" t="str">
            <v>End User Domestic Exit Point IC</v>
          </cell>
          <cell r="L188" t="str">
            <v>H-Zone</v>
          </cell>
          <cell r="M188">
            <v>1</v>
          </cell>
          <cell r="N188">
            <v>0</v>
          </cell>
          <cell r="O188">
            <v>0</v>
          </cell>
          <cell r="Q188">
            <v>0</v>
          </cell>
          <cell r="S188" t="str">
            <v>22ZFL875630----1</v>
          </cell>
        </row>
        <row r="189">
          <cell r="A189" t="str">
            <v>SOCOGETRA AUBANGE</v>
          </cell>
          <cell r="B189" t="str">
            <v>87575-N01</v>
          </cell>
          <cell r="C189" t="str">
            <v>87575</v>
          </cell>
          <cell r="D189" t="str">
            <v>Industrial Client</v>
          </cell>
          <cell r="E189" t="str">
            <v>Avenue Champion</v>
          </cell>
          <cell r="F189" t="str">
            <v>24/Z</v>
          </cell>
          <cell r="G189">
            <v>6790</v>
          </cell>
          <cell r="H189" t="str">
            <v>AUBANGE</v>
          </cell>
          <cell r="I189" t="str">
            <v>SOCOGETRA AUBANGE</v>
          </cell>
          <cell r="J189" t="str">
            <v>007146</v>
          </cell>
          <cell r="K189" t="str">
            <v>End User Domestic Exit Point IC</v>
          </cell>
          <cell r="L189" t="str">
            <v>H-Zone</v>
          </cell>
          <cell r="M189">
            <v>1</v>
          </cell>
          <cell r="N189">
            <v>0</v>
          </cell>
          <cell r="O189">
            <v>0</v>
          </cell>
          <cell r="Q189">
            <v>0</v>
          </cell>
          <cell r="S189" t="str">
            <v>22ZFL007146----R</v>
          </cell>
        </row>
        <row r="190">
          <cell r="A190" t="str">
            <v>SOLAREC RECOGNE</v>
          </cell>
          <cell r="B190" t="str">
            <v>87121-N01</v>
          </cell>
          <cell r="C190" t="str">
            <v>87121</v>
          </cell>
          <cell r="D190" t="str">
            <v>Industrial Client</v>
          </cell>
          <cell r="E190" t="str">
            <v>route de Saint-Hubert</v>
          </cell>
          <cell r="F190">
            <v>75</v>
          </cell>
          <cell r="G190">
            <v>6800</v>
          </cell>
          <cell r="H190" t="str">
            <v>RECOGNE</v>
          </cell>
          <cell r="I190" t="str">
            <v>SOLAREC RECOGNE</v>
          </cell>
          <cell r="J190" t="str">
            <v>004787</v>
          </cell>
          <cell r="K190" t="str">
            <v>End User Domestic Exit Point IC</v>
          </cell>
          <cell r="L190" t="str">
            <v>H-Zone</v>
          </cell>
          <cell r="M190">
            <v>1</v>
          </cell>
          <cell r="N190">
            <v>0</v>
          </cell>
          <cell r="O190">
            <v>0</v>
          </cell>
          <cell r="Q190">
            <v>0</v>
          </cell>
          <cell r="S190" t="str">
            <v>22ZFL004787----9</v>
          </cell>
        </row>
        <row r="191">
          <cell r="A191" t="str">
            <v>SONACA CHARLEROI GOSSELIES</v>
          </cell>
          <cell r="B191" t="str">
            <v>55103-N01</v>
          </cell>
          <cell r="C191" t="str">
            <v>55103</v>
          </cell>
          <cell r="D191" t="str">
            <v>Industrial Client</v>
          </cell>
          <cell r="E191" t="str">
            <v>Route Nationale</v>
          </cell>
          <cell r="F191">
            <v>5</v>
          </cell>
          <cell r="G191">
            <v>6041</v>
          </cell>
          <cell r="H191" t="str">
            <v>GOSSELIES</v>
          </cell>
          <cell r="I191" t="str">
            <v>SONACA CHARLEROI GOSSELIES</v>
          </cell>
          <cell r="J191" t="str">
            <v>551030</v>
          </cell>
          <cell r="K191" t="str">
            <v>End User Domestic Exit Point IC</v>
          </cell>
          <cell r="L191" t="str">
            <v>H-Zone</v>
          </cell>
          <cell r="M191">
            <v>1</v>
          </cell>
          <cell r="N191">
            <v>0</v>
          </cell>
          <cell r="O191">
            <v>0</v>
          </cell>
          <cell r="Q191">
            <v>0</v>
          </cell>
          <cell r="S191" t="str">
            <v>22ZFL551030----R</v>
          </cell>
        </row>
        <row r="192">
          <cell r="A192" t="str">
            <v>SORESIC CHARLEROI</v>
          </cell>
          <cell r="B192" t="str">
            <v>52121-N01</v>
          </cell>
          <cell r="C192" t="str">
            <v>52121</v>
          </cell>
          <cell r="D192" t="str">
            <v>Industrial Client</v>
          </cell>
          <cell r="E192" t="str">
            <v>Avenue des Etats-Unis</v>
          </cell>
          <cell r="F192">
            <v>1</v>
          </cell>
          <cell r="G192">
            <v>6041</v>
          </cell>
          <cell r="H192" t="str">
            <v>GOSSELIES</v>
          </cell>
          <cell r="I192" t="str">
            <v>SORESIC CHARLEROI</v>
          </cell>
          <cell r="J192" t="str">
            <v>004752</v>
          </cell>
          <cell r="K192" t="str">
            <v>End User Domestic Exit Point IC</v>
          </cell>
          <cell r="L192" t="str">
            <v>H-Zone</v>
          </cell>
          <cell r="M192">
            <v>1</v>
          </cell>
          <cell r="N192">
            <v>0</v>
          </cell>
          <cell r="O192">
            <v>0</v>
          </cell>
          <cell r="Q192">
            <v>0</v>
          </cell>
          <cell r="S192" t="str">
            <v>22ZFL004752----N</v>
          </cell>
        </row>
        <row r="193">
          <cell r="A193" t="str">
            <v>SOVITEC FLEURUS</v>
          </cell>
          <cell r="B193" t="str">
            <v>52213-N01</v>
          </cell>
          <cell r="C193" t="str">
            <v>52213</v>
          </cell>
          <cell r="D193" t="str">
            <v>Industrial Client</v>
          </cell>
          <cell r="E193" t="str">
            <v>Zoning Industriel - Avenue du Marquis</v>
          </cell>
          <cell r="F193">
            <v>4</v>
          </cell>
          <cell r="G193">
            <v>6220</v>
          </cell>
          <cell r="H193" t="str">
            <v>FLEURUS</v>
          </cell>
          <cell r="I193" t="str">
            <v>SOVITEC FLEURUS</v>
          </cell>
          <cell r="J193" t="str">
            <v>007135</v>
          </cell>
          <cell r="K193" t="str">
            <v>End User Domestic Exit Point IC</v>
          </cell>
          <cell r="L193" t="str">
            <v>H-Zone</v>
          </cell>
          <cell r="M193">
            <v>1</v>
          </cell>
          <cell r="N193">
            <v>1</v>
          </cell>
          <cell r="O193">
            <v>0</v>
          </cell>
          <cell r="Q193">
            <v>0</v>
          </cell>
          <cell r="S193" t="str">
            <v>22ZFL007135----3</v>
          </cell>
        </row>
        <row r="194">
          <cell r="A194" t="str">
            <v>SPANOLUX VIELSALM</v>
          </cell>
          <cell r="B194" t="str">
            <v>89789-N01</v>
          </cell>
          <cell r="C194" t="str">
            <v>89789</v>
          </cell>
          <cell r="D194" t="str">
            <v>Industrial Client</v>
          </cell>
          <cell r="E194" t="str">
            <v>Zoning Industriel de Burtonville</v>
          </cell>
          <cell r="F194" t="str">
            <v>z/n</v>
          </cell>
          <cell r="G194">
            <v>6690</v>
          </cell>
          <cell r="H194" t="str">
            <v>VIELSALM</v>
          </cell>
          <cell r="I194" t="str">
            <v>SPANOLUX VIELSALM</v>
          </cell>
          <cell r="J194" t="str">
            <v>006008</v>
          </cell>
          <cell r="K194" t="str">
            <v>End User Domestic Exit Point IC</v>
          </cell>
          <cell r="L194" t="str">
            <v>H-Zone</v>
          </cell>
          <cell r="M194">
            <v>1</v>
          </cell>
          <cell r="N194">
            <v>1</v>
          </cell>
          <cell r="O194">
            <v>0</v>
          </cell>
          <cell r="Q194">
            <v>1</v>
          </cell>
          <cell r="S194" t="str">
            <v>22ZFL006008----N</v>
          </cell>
        </row>
        <row r="195">
          <cell r="A195" t="str">
            <v>STORA ENSO LANGERBRUGGE</v>
          </cell>
          <cell r="B195" t="str">
            <v>42571-N01</v>
          </cell>
          <cell r="C195" t="str">
            <v>42571</v>
          </cell>
          <cell r="D195" t="str">
            <v>Industrial Client</v>
          </cell>
          <cell r="E195" t="str">
            <v>Wondelgemkaai</v>
          </cell>
          <cell r="F195">
            <v>200</v>
          </cell>
          <cell r="G195">
            <v>9000</v>
          </cell>
          <cell r="H195" t="str">
            <v>GENT</v>
          </cell>
          <cell r="I195" t="str">
            <v>STORA ENSO LANGERBRUGGE</v>
          </cell>
          <cell r="J195" t="str">
            <v>425710</v>
          </cell>
          <cell r="K195" t="str">
            <v>End User Domestic Exit Point IC</v>
          </cell>
          <cell r="L195" t="str">
            <v>H-Zone</v>
          </cell>
          <cell r="M195">
            <v>1</v>
          </cell>
          <cell r="N195">
            <v>0</v>
          </cell>
          <cell r="O195">
            <v>0</v>
          </cell>
          <cell r="Q195">
            <v>0</v>
          </cell>
          <cell r="S195" t="str">
            <v>22ZFL425710----R</v>
          </cell>
        </row>
        <row r="196">
          <cell r="A196" t="str">
            <v>STUKWERKERS HAVENBEDRIJF GENT</v>
          </cell>
          <cell r="B196" t="str">
            <v>42527-N01</v>
          </cell>
          <cell r="C196" t="str">
            <v>42527</v>
          </cell>
          <cell r="D196" t="str">
            <v>Industrial Client</v>
          </cell>
          <cell r="E196" t="str">
            <v>hoek Geerard v Daelelaan en Gotborgstraat</v>
          </cell>
          <cell r="F196" t="str">
            <v>z/n</v>
          </cell>
          <cell r="G196">
            <v>9000</v>
          </cell>
          <cell r="H196" t="str">
            <v>GENT</v>
          </cell>
          <cell r="I196" t="str">
            <v>STUKWERKERS HAVENBEDRIJF GENT</v>
          </cell>
          <cell r="J196" t="str">
            <v>425270</v>
          </cell>
          <cell r="K196" t="str">
            <v>End User Domestic Exit Point IC</v>
          </cell>
          <cell r="L196" t="str">
            <v>H-Zone</v>
          </cell>
          <cell r="M196">
            <v>1</v>
          </cell>
          <cell r="N196">
            <v>1</v>
          </cell>
          <cell r="O196">
            <v>0</v>
          </cell>
          <cell r="Q196">
            <v>1</v>
          </cell>
          <cell r="S196" t="str">
            <v>22ZFL425270----P</v>
          </cell>
        </row>
        <row r="197">
          <cell r="A197" t="str">
            <v>SUCRERIE DE WANZE</v>
          </cell>
          <cell r="B197" t="str">
            <v>86709-N01</v>
          </cell>
          <cell r="C197" t="str">
            <v>86709</v>
          </cell>
          <cell r="D197" t="str">
            <v>Industrial Client</v>
          </cell>
          <cell r="E197" t="str">
            <v>Etabl. de Wanze - Chemin de Meuse</v>
          </cell>
          <cell r="F197">
            <v>9</v>
          </cell>
          <cell r="G197">
            <v>4520</v>
          </cell>
          <cell r="H197" t="str">
            <v>WANZE</v>
          </cell>
          <cell r="I197" t="str">
            <v>SUCRERIE DE WANZE</v>
          </cell>
          <cell r="J197" t="str">
            <v>004679</v>
          </cell>
          <cell r="K197" t="str">
            <v>End User Domestic Exit Point IC</v>
          </cell>
          <cell r="L197" t="str">
            <v>H-Zone</v>
          </cell>
          <cell r="M197">
            <v>1</v>
          </cell>
          <cell r="N197">
            <v>1</v>
          </cell>
          <cell r="O197">
            <v>0</v>
          </cell>
          <cell r="Q197">
            <v>1</v>
          </cell>
          <cell r="S197" t="str">
            <v>22ZFL004679----C</v>
          </cell>
        </row>
        <row r="198">
          <cell r="A198" t="str">
            <v>SUMITOMO BAKELITE EUROPE NV DIEPENBEEK</v>
          </cell>
          <cell r="B198" t="str">
            <v>13065-N01</v>
          </cell>
          <cell r="C198" t="str">
            <v>13065</v>
          </cell>
          <cell r="D198" t="str">
            <v>Industrial Client</v>
          </cell>
          <cell r="E198" t="str">
            <v>Genk Zuid, Zone 12B - Henry Fordlaan</v>
          </cell>
          <cell r="F198">
            <v>80</v>
          </cell>
          <cell r="G198">
            <v>3600</v>
          </cell>
          <cell r="H198" t="str">
            <v>GENK</v>
          </cell>
          <cell r="I198" t="str">
            <v>SUMITOMO BAKELITE EUROPE NV DIEPENBEEK</v>
          </cell>
          <cell r="J198" t="str">
            <v>130650</v>
          </cell>
          <cell r="K198" t="str">
            <v>End User Domestic Exit Point IC</v>
          </cell>
          <cell r="L198" t="str">
            <v>H-Zone</v>
          </cell>
          <cell r="M198">
            <v>1</v>
          </cell>
          <cell r="N198">
            <v>1</v>
          </cell>
          <cell r="O198">
            <v>0</v>
          </cell>
          <cell r="Q198">
            <v>0</v>
          </cell>
          <cell r="S198" t="str">
            <v>22ZFL130650----1</v>
          </cell>
        </row>
        <row r="199">
          <cell r="A199" t="str">
            <v>SYLVANIA TIENEN</v>
          </cell>
          <cell r="B199" t="str">
            <v>31151-N01</v>
          </cell>
          <cell r="C199" t="str">
            <v>31151</v>
          </cell>
          <cell r="D199" t="str">
            <v>Industrial Client</v>
          </cell>
          <cell r="E199" t="str">
            <v>Industriepark</v>
          </cell>
          <cell r="F199">
            <v>13</v>
          </cell>
          <cell r="G199">
            <v>3300</v>
          </cell>
          <cell r="H199" t="str">
            <v>TIENEN</v>
          </cell>
          <cell r="I199" t="str">
            <v>SYLVANIA TIENEN</v>
          </cell>
          <cell r="J199" t="str">
            <v>311510</v>
          </cell>
          <cell r="K199" t="str">
            <v>End User Domestic Exit Point IC</v>
          </cell>
          <cell r="L199" t="str">
            <v>L-Zone</v>
          </cell>
          <cell r="M199">
            <v>1</v>
          </cell>
          <cell r="N199">
            <v>1</v>
          </cell>
          <cell r="O199">
            <v>0</v>
          </cell>
          <cell r="Q199">
            <v>1</v>
          </cell>
          <cell r="S199" t="str">
            <v>22ZFL311510----Q</v>
          </cell>
        </row>
        <row r="200">
          <cell r="A200" t="str">
            <v>SYNGENTA CHEMICALS SENEFFE</v>
          </cell>
          <cell r="B200" t="str">
            <v>05573-N01</v>
          </cell>
          <cell r="C200" t="str">
            <v>5573</v>
          </cell>
          <cell r="D200" t="str">
            <v>Industrial Client</v>
          </cell>
          <cell r="E200" t="str">
            <v>rue de Tyberchamps</v>
          </cell>
          <cell r="F200">
            <v>37</v>
          </cell>
          <cell r="G200">
            <v>7180</v>
          </cell>
          <cell r="H200" t="str">
            <v>SENEFFE</v>
          </cell>
          <cell r="I200" t="str">
            <v>SYNGENTA CHEMICALS SENEFFE</v>
          </cell>
          <cell r="J200" t="str">
            <v>55730</v>
          </cell>
          <cell r="K200" t="str">
            <v>End User Domestic Exit Point IC</v>
          </cell>
          <cell r="L200" t="str">
            <v>H-Zone</v>
          </cell>
          <cell r="M200">
            <v>1</v>
          </cell>
          <cell r="N200">
            <v>0</v>
          </cell>
          <cell r="O200">
            <v>0</v>
          </cell>
          <cell r="Q200">
            <v>0</v>
          </cell>
          <cell r="S200" t="str">
            <v>22ZFL55730-----D</v>
          </cell>
        </row>
        <row r="201">
          <cell r="A201" t="str">
            <v>STADSBADER KALLO</v>
          </cell>
          <cell r="B201" t="str">
            <v>42907-N01</v>
          </cell>
          <cell r="C201" t="str">
            <v>42907</v>
          </cell>
          <cell r="D201" t="str">
            <v>Industrial Client</v>
          </cell>
          <cell r="E201" t="str">
            <v>Sint-Jansweg</v>
          </cell>
          <cell r="F201">
            <v>8</v>
          </cell>
          <cell r="G201">
            <v>9130</v>
          </cell>
          <cell r="H201" t="str">
            <v>KALLO</v>
          </cell>
          <cell r="I201" t="str">
            <v>STADSBADER KALLO</v>
          </cell>
          <cell r="J201" t="str">
            <v>007323</v>
          </cell>
          <cell r="K201" t="str">
            <v>End User Domestic Exit Point IC</v>
          </cell>
          <cell r="L201" t="str">
            <v>H-Zone</v>
          </cell>
          <cell r="M201">
            <v>1</v>
          </cell>
          <cell r="N201">
            <v>0</v>
          </cell>
          <cell r="O201">
            <v>0</v>
          </cell>
          <cell r="Q201">
            <v>0</v>
          </cell>
          <cell r="S201" t="str">
            <v>57ZFL007323----V</v>
          </cell>
        </row>
        <row r="202">
          <cell r="A202" t="str">
            <v>TAMINCO GENT</v>
          </cell>
          <cell r="B202" t="str">
            <v>42505-N01</v>
          </cell>
          <cell r="C202" t="str">
            <v>42505</v>
          </cell>
          <cell r="D202" t="str">
            <v>Industrial Client</v>
          </cell>
          <cell r="E202" t="str">
            <v>Pantserschipstraat</v>
          </cell>
          <cell r="F202">
            <v>207</v>
          </cell>
          <cell r="G202">
            <v>9000</v>
          </cell>
          <cell r="H202" t="str">
            <v>GENT</v>
          </cell>
          <cell r="I202" t="str">
            <v>TAMINCO GENT</v>
          </cell>
          <cell r="J202" t="str">
            <v>005902</v>
          </cell>
          <cell r="K202" t="str">
            <v>End User Domestic Exit Point IC</v>
          </cell>
          <cell r="L202" t="str">
            <v>H-Zone</v>
          </cell>
          <cell r="M202">
            <v>1</v>
          </cell>
          <cell r="N202">
            <v>0</v>
          </cell>
          <cell r="O202">
            <v>0</v>
          </cell>
          <cell r="Q202">
            <v>1</v>
          </cell>
          <cell r="S202" t="str">
            <v>22ZFL005902----X</v>
          </cell>
        </row>
        <row r="203">
          <cell r="A203" t="str">
            <v>TEREOS STARCH &amp; SWEETENERS BELGIUM AALST</v>
          </cell>
          <cell r="B203" t="str">
            <v>41031-N01</v>
          </cell>
          <cell r="C203" t="str">
            <v>41031</v>
          </cell>
          <cell r="D203" t="str">
            <v>Industrial Client</v>
          </cell>
          <cell r="E203" t="str">
            <v xml:space="preserve">Burchtstraat </v>
          </cell>
          <cell r="F203">
            <v>10</v>
          </cell>
          <cell r="G203">
            <v>9300</v>
          </cell>
          <cell r="H203" t="str">
            <v>AALST</v>
          </cell>
          <cell r="I203" t="str">
            <v>TEREOS STARCH &amp; SWEETENERS + CHP AALST</v>
          </cell>
          <cell r="J203" t="str">
            <v>004818</v>
          </cell>
          <cell r="K203" t="str">
            <v>End User Domestic Exit Point PP</v>
          </cell>
          <cell r="L203" t="str">
            <v>H-Zone</v>
          </cell>
          <cell r="M203">
            <v>1</v>
          </cell>
          <cell r="N203">
            <v>0</v>
          </cell>
          <cell r="O203">
            <v>0</v>
          </cell>
          <cell r="Q203">
            <v>0</v>
          </cell>
          <cell r="S203" t="str">
            <v>22ZFL004818----7</v>
          </cell>
        </row>
        <row r="204">
          <cell r="A204" t="str">
            <v>TESSENDERLO CHEMIE HAM</v>
          </cell>
          <cell r="B204" t="str">
            <v>12105-N01</v>
          </cell>
          <cell r="C204" t="str">
            <v>12105</v>
          </cell>
          <cell r="D204" t="str">
            <v>Industrial Client</v>
          </cell>
          <cell r="E204" t="str">
            <v>Bergstraat</v>
          </cell>
          <cell r="F204">
            <v>32</v>
          </cell>
          <cell r="G204">
            <v>3945</v>
          </cell>
          <cell r="H204" t="str">
            <v>HAM</v>
          </cell>
          <cell r="I204" t="str">
            <v>TESSENDERLO CHEMIE HAM</v>
          </cell>
          <cell r="J204" t="str">
            <v>007185</v>
          </cell>
          <cell r="K204" t="str">
            <v>End User Domestic Exit Point IC</v>
          </cell>
          <cell r="L204" t="str">
            <v>H-Zone</v>
          </cell>
          <cell r="M204">
            <v>1</v>
          </cell>
          <cell r="N204">
            <v>0</v>
          </cell>
          <cell r="O204">
            <v>0</v>
          </cell>
          <cell r="Q204">
            <v>0</v>
          </cell>
          <cell r="S204" t="str">
            <v>57ZFL007185----U</v>
          </cell>
        </row>
        <row r="205">
          <cell r="A205" t="str">
            <v>TESSENDERLO CHEMIE VILVOORDE</v>
          </cell>
          <cell r="B205" t="str">
            <v>32271-N01</v>
          </cell>
          <cell r="C205" t="str">
            <v>32271</v>
          </cell>
          <cell r="D205" t="str">
            <v>Industrial Client</v>
          </cell>
          <cell r="E205" t="str">
            <v>Marius Duchéstraat</v>
          </cell>
          <cell r="F205">
            <v>260</v>
          </cell>
          <cell r="G205">
            <v>1800</v>
          </cell>
          <cell r="H205" t="str">
            <v>VILVOORDE</v>
          </cell>
          <cell r="I205" t="str">
            <v>TESSENDERLO CHEMIE VILVOORDE</v>
          </cell>
          <cell r="J205" t="str">
            <v>322710</v>
          </cell>
          <cell r="K205" t="str">
            <v>End User Domestic Exit Point IC</v>
          </cell>
          <cell r="L205" t="str">
            <v>L-Zone</v>
          </cell>
          <cell r="M205">
            <v>1</v>
          </cell>
          <cell r="N205">
            <v>1</v>
          </cell>
          <cell r="O205">
            <v>0</v>
          </cell>
          <cell r="Q205">
            <v>1</v>
          </cell>
          <cell r="S205" t="str">
            <v>22ZFL322710----S</v>
          </cell>
        </row>
        <row r="206">
          <cell r="A206" t="str">
            <v>THY MARCINELLE CHARLEROI</v>
          </cell>
          <cell r="B206" t="str">
            <v>54543-N01</v>
          </cell>
          <cell r="C206" t="str">
            <v>54543</v>
          </cell>
          <cell r="D206" t="str">
            <v>Industrial Client</v>
          </cell>
          <cell r="E206" t="str">
            <v>Rue de l'Acier</v>
          </cell>
          <cell r="F206">
            <v>1</v>
          </cell>
          <cell r="G206">
            <v>6000</v>
          </cell>
          <cell r="H206" t="str">
            <v>CHARLEROI</v>
          </cell>
          <cell r="I206" t="str">
            <v>THY MARCINELLE CHARLEROI</v>
          </cell>
          <cell r="J206" t="str">
            <v>004875</v>
          </cell>
          <cell r="K206" t="str">
            <v>End User Domestic Exit Point IC</v>
          </cell>
          <cell r="L206" t="str">
            <v>H-Zone</v>
          </cell>
          <cell r="M206">
            <v>1</v>
          </cell>
          <cell r="N206">
            <v>1</v>
          </cell>
          <cell r="O206">
            <v>0</v>
          </cell>
          <cell r="Q206">
            <v>1</v>
          </cell>
          <cell r="S206" t="str">
            <v>22ZFL004875----K</v>
          </cell>
        </row>
        <row r="207">
          <cell r="A207" t="str">
            <v>THY MARCINELLE DAMPREMY</v>
          </cell>
          <cell r="B207" t="str">
            <v>54365-N01</v>
          </cell>
          <cell r="C207" t="str">
            <v>54365</v>
          </cell>
          <cell r="D207" t="str">
            <v>Industrial Client</v>
          </cell>
          <cell r="E207" t="str">
            <v>Charleroi 1 - BP 1002</v>
          </cell>
          <cell r="F207" t="str">
            <v>z/n</v>
          </cell>
          <cell r="G207">
            <v>6000</v>
          </cell>
          <cell r="H207" t="str">
            <v>CHARLEROI</v>
          </cell>
          <cell r="I207" t="str">
            <v>THY MARCINELLE DAMPREMY</v>
          </cell>
          <cell r="J207" t="str">
            <v>004873</v>
          </cell>
          <cell r="K207" t="str">
            <v>End User Domestic Exit Point IC</v>
          </cell>
          <cell r="L207" t="str">
            <v>H-Zone</v>
          </cell>
          <cell r="M207">
            <v>1</v>
          </cell>
          <cell r="N207">
            <v>1</v>
          </cell>
          <cell r="O207">
            <v>0</v>
          </cell>
          <cell r="Q207">
            <v>1</v>
          </cell>
          <cell r="S207" t="str">
            <v>22ZFL004873----W</v>
          </cell>
        </row>
        <row r="208">
          <cell r="A208" t="str">
            <v>TI GROUP AUTOMOTIVE SYSTEMS WANDRE</v>
          </cell>
          <cell r="B208" t="str">
            <v>83247-N01</v>
          </cell>
          <cell r="C208" t="str">
            <v>83247</v>
          </cell>
          <cell r="D208" t="str">
            <v>Industrial Client</v>
          </cell>
          <cell r="E208" t="str">
            <v>Au Wérihet</v>
          </cell>
          <cell r="F208">
            <v>55</v>
          </cell>
          <cell r="G208">
            <v>4020</v>
          </cell>
          <cell r="H208" t="str">
            <v>WANDRE-LIEGE</v>
          </cell>
          <cell r="I208" t="str">
            <v>TI GROUP AUTOMOTIVE SYSTEMS WANDRE</v>
          </cell>
          <cell r="J208" t="str">
            <v>005298</v>
          </cell>
          <cell r="K208" t="str">
            <v>End User Domestic Exit Point IC</v>
          </cell>
          <cell r="L208" t="str">
            <v>H-Zone</v>
          </cell>
          <cell r="M208">
            <v>1</v>
          </cell>
          <cell r="N208">
            <v>0</v>
          </cell>
          <cell r="O208">
            <v>0</v>
          </cell>
          <cell r="Q208">
            <v>0</v>
          </cell>
          <cell r="S208" t="str">
            <v>22ZFL005298----R</v>
          </cell>
        </row>
        <row r="209">
          <cell r="A209" t="str">
            <v>TIENSE SUIKERRAFFINADERIJ TIENEN</v>
          </cell>
          <cell r="B209" t="str">
            <v>31121-N01</v>
          </cell>
          <cell r="C209" t="str">
            <v>31121</v>
          </cell>
          <cell r="D209" t="str">
            <v>Industrial Client</v>
          </cell>
          <cell r="E209" t="str">
            <v>Vinckenboschvest</v>
          </cell>
          <cell r="F209">
            <v>1</v>
          </cell>
          <cell r="G209">
            <v>3300</v>
          </cell>
          <cell r="H209" t="str">
            <v>TIENEN</v>
          </cell>
          <cell r="I209" t="str">
            <v>TIENSE SUIKERRAFFINADERIJ TIENEN</v>
          </cell>
          <cell r="J209" t="str">
            <v>004724</v>
          </cell>
          <cell r="K209" t="str">
            <v>End User Domestic Exit Point IC</v>
          </cell>
          <cell r="L209" t="str">
            <v>L-Zone</v>
          </cell>
          <cell r="M209">
            <v>1</v>
          </cell>
          <cell r="N209">
            <v>0</v>
          </cell>
          <cell r="O209">
            <v>0</v>
          </cell>
          <cell r="Q209">
            <v>0</v>
          </cell>
          <cell r="S209" t="str">
            <v>22ZFL004724----W</v>
          </cell>
        </row>
        <row r="210">
          <cell r="A210" t="str">
            <v>TIMAC AGRO BELUX SA MARCHIENNE-AU-PONT</v>
          </cell>
          <cell r="B210" t="str">
            <v>55159-N01</v>
          </cell>
          <cell r="C210" t="str">
            <v>55159</v>
          </cell>
          <cell r="D210" t="str">
            <v>Industrial Client</v>
          </cell>
          <cell r="E210" t="str">
            <v>rue de la Jonction</v>
          </cell>
          <cell r="F210">
            <v>4</v>
          </cell>
          <cell r="G210">
            <v>6030</v>
          </cell>
          <cell r="H210" t="str">
            <v>MARCHIENNE-AU-PONT</v>
          </cell>
          <cell r="I210" t="str">
            <v>TIMAC AGRO BELUX SA MARCHIENNE-AU-PONT</v>
          </cell>
          <cell r="J210" t="str">
            <v>551590</v>
          </cell>
          <cell r="K210" t="str">
            <v>End User Domestic Exit Point IC</v>
          </cell>
          <cell r="L210" t="str">
            <v>H-Zone</v>
          </cell>
          <cell r="M210">
            <v>1</v>
          </cell>
          <cell r="N210">
            <v>1</v>
          </cell>
          <cell r="O210">
            <v>0</v>
          </cell>
          <cell r="Q210">
            <v>1</v>
          </cell>
          <cell r="S210" t="str">
            <v>22ZFL551590----J</v>
          </cell>
        </row>
        <row r="211">
          <cell r="A211" t="str">
            <v>TOMW@TT BVBA SINT-GILLIS-WAAS</v>
          </cell>
          <cell r="B211" t="str">
            <v>42851-N01</v>
          </cell>
          <cell r="C211" t="str">
            <v>42851</v>
          </cell>
          <cell r="D211" t="str">
            <v>Industrial Client</v>
          </cell>
          <cell r="E211" t="str">
            <v>Hogewatergangweg</v>
          </cell>
          <cell r="F211">
            <v>1</v>
          </cell>
          <cell r="G211">
            <v>9170</v>
          </cell>
          <cell r="H211" t="str">
            <v>SINT-GILLIS-WAAS</v>
          </cell>
          <cell r="I211" t="str">
            <v>TOMW@TT BVBA SINT-GILLIS-WAAS</v>
          </cell>
          <cell r="J211" t="str">
            <v>005957</v>
          </cell>
          <cell r="K211" t="str">
            <v>End User Domestic Exit Point IC</v>
          </cell>
          <cell r="L211" t="str">
            <v>H-Zone</v>
          </cell>
          <cell r="M211">
            <v>1</v>
          </cell>
          <cell r="N211">
            <v>0</v>
          </cell>
          <cell r="O211">
            <v>0</v>
          </cell>
          <cell r="Q211">
            <v>0</v>
          </cell>
          <cell r="S211" t="str">
            <v>22ZFL005957----5</v>
          </cell>
        </row>
        <row r="212">
          <cell r="A212" t="str">
            <v>TOTAL OLEFINS ANTWERP SITE A</v>
          </cell>
          <cell r="B212" t="str">
            <v>22321-N01</v>
          </cell>
          <cell r="C212" t="str">
            <v>22321</v>
          </cell>
          <cell r="D212" t="str">
            <v>Industrial Client</v>
          </cell>
          <cell r="E212" t="str">
            <v>Scheldelaan</v>
          </cell>
          <cell r="F212">
            <v>10</v>
          </cell>
          <cell r="G212">
            <v>2030</v>
          </cell>
          <cell r="H212" t="str">
            <v>ANTWERPEN</v>
          </cell>
          <cell r="I212" t="str">
            <v>TOTAL OLEFINS ANTWERP SITE A</v>
          </cell>
          <cell r="J212" t="str">
            <v>004720</v>
          </cell>
          <cell r="K212" t="str">
            <v>End User Domestic Exit Point IC</v>
          </cell>
          <cell r="L212" t="str">
            <v>H-Zone</v>
          </cell>
          <cell r="M212">
            <v>1</v>
          </cell>
          <cell r="N212">
            <v>1</v>
          </cell>
          <cell r="O212">
            <v>0</v>
          </cell>
          <cell r="Q212">
            <v>0</v>
          </cell>
          <cell r="S212" t="str">
            <v>22ZFL004720----J</v>
          </cell>
        </row>
        <row r="213">
          <cell r="A213" t="str">
            <v>TOTAL OLEFINS ANTWERP SITE C</v>
          </cell>
          <cell r="B213" t="str">
            <v>21329-N01</v>
          </cell>
          <cell r="C213" t="str">
            <v>21329</v>
          </cell>
          <cell r="D213" t="str">
            <v>Industrial Client</v>
          </cell>
          <cell r="E213" t="str">
            <v>Haven 1023 - Scheldedijk</v>
          </cell>
          <cell r="F213">
            <v>10</v>
          </cell>
          <cell r="G213">
            <v>2070</v>
          </cell>
          <cell r="H213" t="str">
            <v>ZWIJNDRECHT</v>
          </cell>
          <cell r="I213" t="str">
            <v>TOTAL OLEFINS ANTWERP SITE C</v>
          </cell>
          <cell r="J213" t="str">
            <v>213290</v>
          </cell>
          <cell r="K213" t="str">
            <v>End User Domestic Exit Point IC</v>
          </cell>
          <cell r="L213" t="str">
            <v>H-Zone</v>
          </cell>
          <cell r="M213">
            <v>1</v>
          </cell>
          <cell r="N213">
            <v>0</v>
          </cell>
          <cell r="O213">
            <v>0</v>
          </cell>
          <cell r="Q213">
            <v>0</v>
          </cell>
          <cell r="S213" t="str">
            <v>22ZFL213290----O</v>
          </cell>
        </row>
        <row r="214">
          <cell r="A214" t="str">
            <v>TOTAL PETROCHEMICALS FELUY</v>
          </cell>
          <cell r="B214" t="str">
            <v>61329-N01</v>
          </cell>
          <cell r="C214" t="str">
            <v>61329</v>
          </cell>
          <cell r="D214" t="str">
            <v>Industrial Client</v>
          </cell>
          <cell r="E214" t="str">
            <v>Zoning Industriel- Zone C</v>
          </cell>
          <cell r="F214" t="str">
            <v>z/n</v>
          </cell>
          <cell r="G214">
            <v>7181</v>
          </cell>
          <cell r="H214" t="str">
            <v>FELUY</v>
          </cell>
          <cell r="I214" t="str">
            <v>TOTAL PETROCHEMICALS FELUY</v>
          </cell>
          <cell r="J214" t="str">
            <v>004761</v>
          </cell>
          <cell r="K214" t="str">
            <v>End User Domestic Exit Point IC</v>
          </cell>
          <cell r="L214" t="str">
            <v>H-Zone</v>
          </cell>
          <cell r="M214">
            <v>1</v>
          </cell>
          <cell r="N214">
            <v>0</v>
          </cell>
          <cell r="O214">
            <v>0</v>
          </cell>
          <cell r="Q214">
            <v>0</v>
          </cell>
          <cell r="S214" t="str">
            <v>22ZFL004761----M</v>
          </cell>
        </row>
        <row r="215">
          <cell r="A215" t="str">
            <v>TOTAL POLYMERS ANTWERP</v>
          </cell>
          <cell r="B215" t="str">
            <v>23605-N01</v>
          </cell>
          <cell r="C215" t="str">
            <v>23605</v>
          </cell>
          <cell r="D215" t="str">
            <v>Industrial Client</v>
          </cell>
          <cell r="E215" t="str">
            <v>Scheldelaan</v>
          </cell>
          <cell r="F215">
            <v>4</v>
          </cell>
          <cell r="G215">
            <v>2030</v>
          </cell>
          <cell r="H215" t="str">
            <v>ANTWERPEN</v>
          </cell>
          <cell r="I215" t="str">
            <v>TOTAL POLYMERS ANTWERP</v>
          </cell>
          <cell r="J215" t="str">
            <v>004723</v>
          </cell>
          <cell r="K215" t="str">
            <v>End User Domestic Exit Point IC</v>
          </cell>
          <cell r="L215" t="str">
            <v>H-Zone</v>
          </cell>
          <cell r="M215">
            <v>1</v>
          </cell>
          <cell r="N215">
            <v>0</v>
          </cell>
          <cell r="O215">
            <v>0</v>
          </cell>
          <cell r="Q215">
            <v>0</v>
          </cell>
          <cell r="S215" t="str">
            <v>22ZFL004723----1</v>
          </cell>
          <cell r="T215" t="str">
            <v>01/06/2018 - Done</v>
          </cell>
        </row>
        <row r="216">
          <cell r="A216" t="str">
            <v>TOTAL RAFFINADERIJ ANTWERPEN</v>
          </cell>
          <cell r="B216" t="str">
            <v>21821-N01</v>
          </cell>
          <cell r="C216" t="str">
            <v>21821</v>
          </cell>
          <cell r="D216" t="str">
            <v>Industrial Client</v>
          </cell>
          <cell r="E216" t="str">
            <v>Scheldelaan</v>
          </cell>
          <cell r="F216">
            <v>4</v>
          </cell>
          <cell r="G216">
            <v>2030</v>
          </cell>
          <cell r="H216" t="str">
            <v>ANTWERPEN</v>
          </cell>
          <cell r="I216" t="str">
            <v>TOTAL RAFFINADERIJ ANTWERPEN</v>
          </cell>
          <cell r="J216" t="str">
            <v>007184</v>
          </cell>
          <cell r="K216" t="str">
            <v>End User Domestic Exit Point IC</v>
          </cell>
          <cell r="L216" t="str">
            <v>H-Zone</v>
          </cell>
          <cell r="M216">
            <v>1</v>
          </cell>
          <cell r="N216">
            <v>0</v>
          </cell>
          <cell r="O216">
            <v>0</v>
          </cell>
          <cell r="Q216">
            <v>0</v>
          </cell>
          <cell r="S216" t="str">
            <v>57ZFL-007184---P</v>
          </cell>
        </row>
        <row r="217">
          <cell r="A217" t="str">
            <v>TRANSFURANS CHEMICALS</v>
          </cell>
          <cell r="B217" t="str">
            <v>18073-N01</v>
          </cell>
          <cell r="C217" t="str">
            <v>18073</v>
          </cell>
          <cell r="D217" t="str">
            <v>Industrial Client</v>
          </cell>
          <cell r="E217" t="str">
            <v>Industriepark - Leukaard</v>
          </cell>
          <cell r="F217">
            <v>2</v>
          </cell>
          <cell r="G217">
            <v>2440</v>
          </cell>
          <cell r="H217" t="str">
            <v>GEEL</v>
          </cell>
          <cell r="I217" t="str">
            <v>TRANSFURANS CHEMICALS</v>
          </cell>
          <cell r="J217" t="str">
            <v>180730</v>
          </cell>
          <cell r="K217" t="str">
            <v>End User Domestic Exit Point IC</v>
          </cell>
          <cell r="L217" t="str">
            <v>H-Zone</v>
          </cell>
          <cell r="M217">
            <v>1</v>
          </cell>
          <cell r="N217">
            <v>0</v>
          </cell>
          <cell r="O217">
            <v>0</v>
          </cell>
          <cell r="Q217">
            <v>0</v>
          </cell>
          <cell r="S217" t="str">
            <v>22ZFL180730----V</v>
          </cell>
          <cell r="T217" t="str">
            <v>01/09/2015 - Done</v>
          </cell>
        </row>
        <row r="218">
          <cell r="A218" t="str">
            <v>TREBOS DUFERCO LA LOUVIÈRE TE TILDONK</v>
          </cell>
          <cell r="B218" t="str">
            <v>01371-N01</v>
          </cell>
          <cell r="C218" t="str">
            <v>1371</v>
          </cell>
          <cell r="D218" t="str">
            <v>Industrial Client</v>
          </cell>
          <cell r="E218" t="str">
            <v>Klein Terbankstraat</v>
          </cell>
          <cell r="F218">
            <v>1</v>
          </cell>
          <cell r="G218">
            <v>3150</v>
          </cell>
          <cell r="H218" t="str">
            <v>TILDONK</v>
          </cell>
          <cell r="I218" t="str">
            <v>TREBOS DUFERCO LA LOUVIÈRE TE TILDONK</v>
          </cell>
          <cell r="J218" t="str">
            <v>13710</v>
          </cell>
          <cell r="K218" t="str">
            <v>End User Domestic Exit Point IC</v>
          </cell>
          <cell r="L218" t="str">
            <v>L-Zone</v>
          </cell>
          <cell r="M218">
            <v>1</v>
          </cell>
          <cell r="N218">
            <v>0</v>
          </cell>
          <cell r="O218">
            <v>0</v>
          </cell>
          <cell r="Q218">
            <v>0</v>
          </cell>
          <cell r="S218" t="str">
            <v>22ZFL13710-----J</v>
          </cell>
        </row>
        <row r="219">
          <cell r="A219" t="str">
            <v>TRICO BELGIUM SA AUBANGE</v>
          </cell>
          <cell r="B219" t="str">
            <v>87551-N01</v>
          </cell>
          <cell r="C219" t="str">
            <v>87551</v>
          </cell>
          <cell r="D219" t="str">
            <v>Industrial Client</v>
          </cell>
          <cell r="E219" t="str">
            <v>Avenue Champion</v>
          </cell>
          <cell r="F219">
            <v>1</v>
          </cell>
          <cell r="G219">
            <v>6790</v>
          </cell>
          <cell r="H219" t="str">
            <v>AUBANGE</v>
          </cell>
          <cell r="I219" t="str">
            <v>TRICO BELGIUM SA AUBANGE</v>
          </cell>
          <cell r="J219" t="str">
            <v>875510</v>
          </cell>
          <cell r="K219" t="str">
            <v>End User Domestic Exit Point IC</v>
          </cell>
          <cell r="L219" t="str">
            <v>H-Zone</v>
          </cell>
          <cell r="M219">
            <v>1</v>
          </cell>
          <cell r="N219">
            <v>0</v>
          </cell>
          <cell r="O219">
            <v>0</v>
          </cell>
          <cell r="Q219">
            <v>0</v>
          </cell>
          <cell r="S219" t="str">
            <v>22ZFL875510----N</v>
          </cell>
        </row>
        <row r="220">
          <cell r="A220" t="str">
            <v>TRINSEO BELGIUM BVBA TESSENDERLO</v>
          </cell>
          <cell r="B220" t="str">
            <v>11515-N01</v>
          </cell>
          <cell r="C220" t="str">
            <v>11515</v>
          </cell>
          <cell r="D220" t="str">
            <v>Industrial Client</v>
          </cell>
          <cell r="E220" t="str">
            <v>Havenlaan</v>
          </cell>
          <cell r="F220">
            <v>7</v>
          </cell>
          <cell r="G220">
            <v>3980</v>
          </cell>
          <cell r="H220" t="str">
            <v>TESSENDERLO</v>
          </cell>
          <cell r="I220" t="str">
            <v>TRINSEO BELGIUM BVBA TESSENDERLO</v>
          </cell>
          <cell r="J220" t="str">
            <v>004697</v>
          </cell>
          <cell r="K220" t="str">
            <v>End User Domestic Exit Point IC</v>
          </cell>
          <cell r="L220" t="str">
            <v>H-Zone</v>
          </cell>
          <cell r="M220">
            <v>1</v>
          </cell>
          <cell r="N220">
            <v>0</v>
          </cell>
          <cell r="O220">
            <v>0</v>
          </cell>
          <cell r="Q220">
            <v>0</v>
          </cell>
          <cell r="S220" t="str">
            <v>22ZFL004697----A</v>
          </cell>
          <cell r="T220" t="str">
            <v>01/09/2015 - Done</v>
          </cell>
        </row>
        <row r="221">
          <cell r="A221" t="str">
            <v>UMICORE HOBOKEN</v>
          </cell>
          <cell r="B221" t="str">
            <v>23141-N01</v>
          </cell>
          <cell r="C221" t="str">
            <v>23141</v>
          </cell>
          <cell r="D221" t="str">
            <v>Industrial Client</v>
          </cell>
          <cell r="E221" t="str">
            <v>A. Greinerstraat</v>
          </cell>
          <cell r="F221">
            <v>14</v>
          </cell>
          <cell r="G221">
            <v>2260</v>
          </cell>
          <cell r="H221" t="str">
            <v>HOBOKEN</v>
          </cell>
          <cell r="I221" t="str">
            <v>UMICORE HOBOKEN</v>
          </cell>
          <cell r="J221" t="str">
            <v>004722</v>
          </cell>
          <cell r="K221" t="str">
            <v>End User Domestic Exit Point IC</v>
          </cell>
          <cell r="L221" t="str">
            <v>H-Zone</v>
          </cell>
          <cell r="M221">
            <v>1</v>
          </cell>
          <cell r="N221">
            <v>1</v>
          </cell>
          <cell r="O221">
            <v>0</v>
          </cell>
          <cell r="Q221">
            <v>0</v>
          </cell>
          <cell r="S221" t="str">
            <v>22ZFL004722----7</v>
          </cell>
          <cell r="T221" t="str">
            <v>01/06/2018 - Done</v>
          </cell>
        </row>
        <row r="222">
          <cell r="A222" t="str">
            <v>UMICORE OLEN</v>
          </cell>
          <cell r="B222" t="str">
            <v>18051-N01</v>
          </cell>
          <cell r="C222" t="str">
            <v>18051</v>
          </cell>
          <cell r="D222" t="str">
            <v>Industrial Client</v>
          </cell>
          <cell r="E222" t="str">
            <v>Watertorenstraat</v>
          </cell>
          <cell r="F222">
            <v>33</v>
          </cell>
          <cell r="G222">
            <v>2250</v>
          </cell>
          <cell r="H222" t="str">
            <v>OLEN</v>
          </cell>
          <cell r="I222" t="str">
            <v>UMICORE OLEN</v>
          </cell>
          <cell r="J222" t="str">
            <v>004708</v>
          </cell>
          <cell r="K222" t="str">
            <v>End User Domestic Exit Point IC</v>
          </cell>
          <cell r="L222" t="str">
            <v>H-Zone</v>
          </cell>
          <cell r="M222">
            <v>1</v>
          </cell>
          <cell r="N222">
            <v>0</v>
          </cell>
          <cell r="O222">
            <v>0</v>
          </cell>
          <cell r="Q222">
            <v>0</v>
          </cell>
          <cell r="S222" t="str">
            <v>22ZFL004708----M</v>
          </cell>
          <cell r="T222" t="str">
            <v xml:space="preserve">01/09/2015 - Done
</v>
          </cell>
        </row>
        <row r="223">
          <cell r="A223" t="str">
            <v>UTEXBEL RONSE</v>
          </cell>
          <cell r="B223" t="str">
            <v>44411-N01</v>
          </cell>
          <cell r="C223" t="str">
            <v>44411</v>
          </cell>
          <cell r="D223" t="str">
            <v>Industrial Client</v>
          </cell>
          <cell r="E223" t="str">
            <v>maeghermanstraat</v>
          </cell>
          <cell r="F223">
            <v>30</v>
          </cell>
          <cell r="G223">
            <v>9600</v>
          </cell>
          <cell r="H223" t="str">
            <v>RONSE</v>
          </cell>
          <cell r="I223" t="str">
            <v>UTEXBEL RONSE</v>
          </cell>
          <cell r="J223" t="str">
            <v>444110</v>
          </cell>
          <cell r="K223" t="str">
            <v>End User Domestic Exit Point IC</v>
          </cell>
          <cell r="L223" t="str">
            <v>H-Zone</v>
          </cell>
          <cell r="M223">
            <v>1</v>
          </cell>
          <cell r="N223">
            <v>1</v>
          </cell>
          <cell r="O223">
            <v>0</v>
          </cell>
          <cell r="Q223">
            <v>1</v>
          </cell>
          <cell r="S223" t="str">
            <v>22ZFL444110----R</v>
          </cell>
        </row>
        <row r="224">
          <cell r="A224" t="str">
            <v>VANDERSANDEN NV LANKLAAR</v>
          </cell>
          <cell r="B224" t="str">
            <v>15111-N01</v>
          </cell>
          <cell r="C224" t="str">
            <v>15111</v>
          </cell>
          <cell r="D224" t="str">
            <v>Industrial Client</v>
          </cell>
          <cell r="E224" t="str">
            <v>Nijverheidslaan</v>
          </cell>
          <cell r="F224">
            <v>11</v>
          </cell>
          <cell r="G224">
            <v>3650</v>
          </cell>
          <cell r="H224" t="str">
            <v>DILSEN-STOKEM</v>
          </cell>
          <cell r="I224" t="str">
            <v>VANDERSANDEN NV LANKLAAR</v>
          </cell>
          <cell r="J224" t="str">
            <v>004705</v>
          </cell>
          <cell r="K224" t="str">
            <v>End User Domestic Exit Point IC</v>
          </cell>
          <cell r="L224" t="str">
            <v>H-Zone</v>
          </cell>
          <cell r="M224">
            <v>1</v>
          </cell>
          <cell r="N224">
            <v>0</v>
          </cell>
          <cell r="O224">
            <v>0</v>
          </cell>
          <cell r="Q224">
            <v>0</v>
          </cell>
          <cell r="S224" t="str">
            <v>22ZFL004705----3</v>
          </cell>
        </row>
        <row r="225">
          <cell r="A225" t="str">
            <v>VIRGINAL PAPER</v>
          </cell>
          <cell r="B225" t="str">
            <v>34321-N01</v>
          </cell>
          <cell r="C225" t="str">
            <v>34321</v>
          </cell>
          <cell r="D225" t="str">
            <v>Industrial Client</v>
          </cell>
          <cell r="E225" t="str">
            <v>Rue d'Asquempont</v>
          </cell>
          <cell r="F225">
            <v>2</v>
          </cell>
          <cell r="G225">
            <v>1460</v>
          </cell>
          <cell r="H225" t="str">
            <v>ITTRE</v>
          </cell>
          <cell r="I225" t="str">
            <v>VIRGINAL PAPER</v>
          </cell>
          <cell r="J225" t="str">
            <v>004732</v>
          </cell>
          <cell r="K225" t="str">
            <v>End User Domestic Exit Point IC</v>
          </cell>
          <cell r="L225" t="str">
            <v>L-Zone</v>
          </cell>
          <cell r="M225">
            <v>1</v>
          </cell>
          <cell r="N225">
            <v>0</v>
          </cell>
          <cell r="O225">
            <v>0</v>
          </cell>
          <cell r="Q225">
            <v>0</v>
          </cell>
          <cell r="S225" t="str">
            <v>22ZFL004732----0</v>
          </cell>
        </row>
        <row r="226">
          <cell r="A226" t="str">
            <v>VISKO TEEPAK N.V. LOMMEL</v>
          </cell>
          <cell r="B226" t="str">
            <v>11041-N01</v>
          </cell>
          <cell r="C226" t="str">
            <v>11041</v>
          </cell>
          <cell r="D226" t="str">
            <v>Industrial Client</v>
          </cell>
          <cell r="E226" t="str">
            <v>Maatheide</v>
          </cell>
          <cell r="F226">
            <v>81</v>
          </cell>
          <cell r="G226">
            <v>3920</v>
          </cell>
          <cell r="H226" t="str">
            <v>LOMMEL</v>
          </cell>
          <cell r="I226" t="str">
            <v>VISKO TEEPAK NV LOMMEL</v>
          </cell>
          <cell r="J226" t="str">
            <v>004694</v>
          </cell>
          <cell r="K226" t="str">
            <v>End User Domestic Exit Point IC</v>
          </cell>
          <cell r="L226" t="str">
            <v>H-Zone</v>
          </cell>
          <cell r="M226">
            <v>1</v>
          </cell>
          <cell r="N226">
            <v>0</v>
          </cell>
          <cell r="O226">
            <v>0</v>
          </cell>
          <cell r="Q226">
            <v>0</v>
          </cell>
          <cell r="S226" t="str">
            <v>22ZFL004694----S</v>
          </cell>
          <cell r="T226" t="str">
            <v xml:space="preserve">01/06/2016 - Done
</v>
          </cell>
        </row>
        <row r="227">
          <cell r="A227" t="str">
            <v>VOLVO GENT</v>
          </cell>
          <cell r="B227" t="str">
            <v>42523-N01</v>
          </cell>
          <cell r="C227" t="str">
            <v>42523</v>
          </cell>
          <cell r="D227" t="str">
            <v>Industrial Client</v>
          </cell>
          <cell r="E227" t="str">
            <v>J.F. Kennedylaan</v>
          </cell>
          <cell r="F227">
            <v>25</v>
          </cell>
          <cell r="G227">
            <v>9000</v>
          </cell>
          <cell r="H227" t="str">
            <v>GENT</v>
          </cell>
          <cell r="I227" t="str">
            <v>VOLVO GENT</v>
          </cell>
          <cell r="J227" t="str">
            <v>004742</v>
          </cell>
          <cell r="K227" t="str">
            <v>End User Domestic Exit Point IC</v>
          </cell>
          <cell r="L227" t="str">
            <v>H-Zone</v>
          </cell>
          <cell r="M227">
            <v>1</v>
          </cell>
          <cell r="N227">
            <v>1</v>
          </cell>
          <cell r="O227">
            <v>0</v>
          </cell>
          <cell r="Q227">
            <v>1</v>
          </cell>
          <cell r="S227" t="str">
            <v>22ZFL004742----U</v>
          </cell>
        </row>
        <row r="228">
          <cell r="A228" t="str">
            <v>VOPAK ANTWERPEN</v>
          </cell>
          <cell r="B228" t="str">
            <v>21811-N01</v>
          </cell>
          <cell r="C228" t="str">
            <v>21811</v>
          </cell>
          <cell r="D228" t="str">
            <v>Industrial Client</v>
          </cell>
          <cell r="E228" t="str">
            <v>Industrieweg</v>
          </cell>
          <cell r="F228">
            <v>16</v>
          </cell>
          <cell r="G228">
            <v>2030</v>
          </cell>
          <cell r="H228" t="str">
            <v>ANTWERPEN</v>
          </cell>
          <cell r="I228" t="str">
            <v>VOPAK ANTWERPEN</v>
          </cell>
          <cell r="J228" t="str">
            <v>007179</v>
          </cell>
          <cell r="K228" t="str">
            <v>End User Domestic Exit Point IC</v>
          </cell>
          <cell r="L228" t="str">
            <v>L-Zone</v>
          </cell>
          <cell r="M228">
            <v>1</v>
          </cell>
          <cell r="N228">
            <v>0</v>
          </cell>
          <cell r="O228">
            <v>0</v>
          </cell>
          <cell r="Q228">
            <v>0</v>
          </cell>
          <cell r="S228" t="str">
            <v>57ZFL007179----D</v>
          </cell>
        </row>
        <row r="229">
          <cell r="A229" t="str">
            <v>VYNOVA BELGIUM NV</v>
          </cell>
          <cell r="B229" t="str">
            <v>12081-N01</v>
          </cell>
          <cell r="C229" t="str">
            <v>12081</v>
          </cell>
          <cell r="D229" t="str">
            <v>Industrial Client</v>
          </cell>
          <cell r="E229" t="str">
            <v>Heilig Hartlaan - Industriepark Schoonhees</v>
          </cell>
          <cell r="F229">
            <v>2030</v>
          </cell>
          <cell r="G229">
            <v>3980</v>
          </cell>
          <cell r="H229" t="str">
            <v>TESSENDERLO</v>
          </cell>
          <cell r="I229" t="str">
            <v>VYNOVA BELGIUM NV</v>
          </cell>
          <cell r="J229" t="str">
            <v>004700</v>
          </cell>
          <cell r="K229" t="str">
            <v>End User Domestic Exit Point IC</v>
          </cell>
          <cell r="L229" t="str">
            <v>L-Zone</v>
          </cell>
          <cell r="M229">
            <v>1</v>
          </cell>
          <cell r="N229">
            <v>0</v>
          </cell>
          <cell r="O229">
            <v>0</v>
          </cell>
          <cell r="Q229">
            <v>0</v>
          </cell>
          <cell r="S229" t="str">
            <v>22ZFL004700----X</v>
          </cell>
        </row>
        <row r="230">
          <cell r="A230" t="str">
            <v>WIENERBERGER VELDWEZELT</v>
          </cell>
          <cell r="B230" t="str">
            <v>15305-N01</v>
          </cell>
          <cell r="C230" t="str">
            <v>15305</v>
          </cell>
          <cell r="D230" t="str">
            <v>Industrial Client</v>
          </cell>
          <cell r="E230" t="str">
            <v>2de Carabinierslaan</v>
          </cell>
          <cell r="F230" t="str">
            <v>145</v>
          </cell>
          <cell r="G230">
            <v>3620</v>
          </cell>
          <cell r="H230" t="str">
            <v>VELDWEZELT</v>
          </cell>
          <cell r="I230" t="str">
            <v>WIENERBERGER VELDWEZELT</v>
          </cell>
          <cell r="J230" t="str">
            <v>1003342</v>
          </cell>
          <cell r="K230" t="str">
            <v>End User Domestic Exit Point IC</v>
          </cell>
          <cell r="L230" t="str">
            <v>L-Zone</v>
          </cell>
          <cell r="M230">
            <v>0</v>
          </cell>
          <cell r="N230">
            <v>1</v>
          </cell>
          <cell r="O230">
            <v>0</v>
          </cell>
          <cell r="Q230">
            <v>0</v>
          </cell>
          <cell r="S230" t="str">
            <v>22ZFL1003342---U</v>
          </cell>
        </row>
        <row r="231">
          <cell r="A231" t="str">
            <v>YARA TERTRE</v>
          </cell>
          <cell r="B231" t="str">
            <v>71191-N01</v>
          </cell>
          <cell r="C231" t="str">
            <v>71191</v>
          </cell>
          <cell r="D231" t="str">
            <v>Industrial Client</v>
          </cell>
          <cell r="E231" t="str">
            <v>Rue de la Carbo</v>
          </cell>
          <cell r="F231">
            <v>10</v>
          </cell>
          <cell r="G231">
            <v>7333</v>
          </cell>
          <cell r="H231" t="str">
            <v>TERTRE</v>
          </cell>
          <cell r="I231" t="str">
            <v>YARA TERTRE</v>
          </cell>
          <cell r="J231" t="str">
            <v>711910</v>
          </cell>
          <cell r="K231" t="str">
            <v>End User Domestic Exit Point IC</v>
          </cell>
          <cell r="L231" t="str">
            <v>H-Zone</v>
          </cell>
          <cell r="M231">
            <v>1</v>
          </cell>
          <cell r="N231">
            <v>0</v>
          </cell>
          <cell r="O231">
            <v>0</v>
          </cell>
          <cell r="Q231">
            <v>0</v>
          </cell>
          <cell r="S231" t="str">
            <v>22ZFL711910----O</v>
          </cell>
        </row>
        <row r="232">
          <cell r="A232" t="str">
            <v>ZANDVLIET POWER ANTWERPEN (ZANDVLIET)</v>
          </cell>
          <cell r="B232" t="str">
            <v>21197-N01</v>
          </cell>
          <cell r="C232" t="str">
            <v>21197</v>
          </cell>
          <cell r="D232" t="str">
            <v>Electrical Power Plant</v>
          </cell>
          <cell r="E232" t="str">
            <v>Haven 726 Scheldelaan</v>
          </cell>
          <cell r="F232">
            <v>600</v>
          </cell>
          <cell r="G232">
            <v>2040</v>
          </cell>
          <cell r="H232" t="str">
            <v>ANTWERPEN</v>
          </cell>
          <cell r="I232" t="str">
            <v>ZANDVLIET POWER ANTWERPEN (ZANDVLIET)</v>
          </cell>
          <cell r="J232" t="str">
            <v>005822</v>
          </cell>
          <cell r="K232" t="str">
            <v>End User Domestic Exit Point PP</v>
          </cell>
          <cell r="L232" t="str">
            <v>H-Zone</v>
          </cell>
          <cell r="M232">
            <v>1</v>
          </cell>
          <cell r="N232">
            <v>0</v>
          </cell>
          <cell r="O232">
            <v>0</v>
          </cell>
          <cell r="Q232">
            <v>0</v>
          </cell>
          <cell r="S232" t="str">
            <v>22ZFL005822----R</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18-07-06T09:12:38.546"/>
    </inkml:context>
    <inkml:brush xml:id="br0">
      <inkml:brushProperty name="width" value="0.05" units="cm"/>
      <inkml:brushProperty name="height" value="0.05" units="cm"/>
    </inkml:brush>
  </inkml:definitions>
  <inkml:traceGroup>
    <inkml:annotationXML>
      <emma:emma xmlns:emma="http://www.w3.org/2003/04/emma" version="1.0">
        <emma:interpretation id="{53E2C818-1FE9-4DE2-88EE-A27AC1CE6D6D}" emma:medium="tactile" emma:mode="ink">
          <msink:context xmlns:msink="http://schemas.microsoft.com/ink/2010/main" type="writingRegion" rotatedBoundingBox="31376,4772 31391,4772 31391,4787 31376,4787"/>
        </emma:interpretation>
      </emma:emma>
    </inkml:annotationXML>
    <inkml:traceGroup>
      <inkml:annotationXML>
        <emma:emma xmlns:emma="http://www.w3.org/2003/04/emma" version="1.0">
          <emma:interpretation id="{DD20EC7B-7F94-40F0-93DD-0ECD92055249}" emma:medium="tactile" emma:mode="ink">
            <msink:context xmlns:msink="http://schemas.microsoft.com/ink/2010/main" type="paragraph" rotatedBoundingBox="31376,4772 31391,4772 31391,4787 31376,4787" alignmentLevel="1"/>
          </emma:interpretation>
        </emma:emma>
      </inkml:annotationXML>
      <inkml:traceGroup>
        <inkml:annotationXML>
          <emma:emma xmlns:emma="http://www.w3.org/2003/04/emma" version="1.0">
            <emma:interpretation id="{98597DAC-FD0B-4079-808C-45421D895A81}" emma:medium="tactile" emma:mode="ink">
              <msink:context xmlns:msink="http://schemas.microsoft.com/ink/2010/main" type="line" rotatedBoundingBox="31376,4772 31391,4772 31391,4787 31376,4787"/>
            </emma:interpretation>
          </emma:emma>
        </inkml:annotationXML>
        <inkml:traceGroup>
          <inkml:annotationXML>
            <emma:emma xmlns:emma="http://www.w3.org/2003/04/emma" version="1.0">
              <emma:interpretation id="{57430271-CAEE-4380-9C2F-2C346567B64B}" emma:medium="tactile" emma:mode="ink">
                <msink:context xmlns:msink="http://schemas.microsoft.com/ink/2010/main" type="inkWord" rotatedBoundingBox="31376,4772 31391,4772 31391,4787 31376,4787"/>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1 5001,'0'0'1776,"0"0"-239,0 0-2641,0 0-521</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77"/>
  <sheetViews>
    <sheetView tabSelected="1" topLeftCell="A7" zoomScale="85" zoomScaleNormal="85" workbookViewId="0">
      <selection activeCell="C14" sqref="C14"/>
    </sheetView>
  </sheetViews>
  <sheetFormatPr defaultRowHeight="15" x14ac:dyDescent="0.25"/>
  <cols>
    <col min="1" max="1" width="5" style="1" customWidth="1"/>
    <col min="2" max="2" width="57.28515625" style="1" customWidth="1"/>
    <col min="3" max="3" width="35.7109375" style="1" customWidth="1"/>
    <col min="4" max="4" width="26.5703125" style="2" customWidth="1"/>
    <col min="5" max="5" width="13" style="2" customWidth="1"/>
    <col min="6" max="6" width="52.42578125" style="1" customWidth="1"/>
    <col min="7" max="7" width="29" style="1" customWidth="1"/>
    <col min="8" max="8" width="18.140625" style="1" customWidth="1"/>
    <col min="9" max="9" width="37.85546875" style="1" customWidth="1"/>
    <col min="10" max="10" width="16.140625" style="1" customWidth="1"/>
    <col min="11" max="11" width="29.7109375" style="1" bestFit="1" customWidth="1"/>
    <col min="12" max="14" width="17.5703125" style="1" customWidth="1"/>
    <col min="15" max="16" width="17.5703125" style="2" customWidth="1"/>
    <col min="17" max="17" width="19.140625" style="1" customWidth="1"/>
    <col min="18" max="18" width="19.42578125" style="2" customWidth="1"/>
    <col min="19" max="19" width="14.42578125" style="1" customWidth="1"/>
    <col min="20" max="16384" width="9.140625" style="1"/>
  </cols>
  <sheetData>
    <row r="1" spans="2:17" ht="82.5" customHeight="1" thickBot="1" x14ac:dyDescent="0.3">
      <c r="B1" s="164" t="s">
        <v>1077</v>
      </c>
      <c r="C1" s="165"/>
      <c r="D1" s="165"/>
      <c r="E1" s="165"/>
      <c r="F1" s="165"/>
      <c r="G1" s="165"/>
      <c r="H1" s="165"/>
      <c r="I1" s="165"/>
      <c r="J1" s="165"/>
      <c r="K1" s="166"/>
    </row>
    <row r="2" spans="2:17" ht="15.75" thickBot="1" x14ac:dyDescent="0.3"/>
    <row r="3" spans="2:17" ht="69" customHeight="1" thickBot="1" x14ac:dyDescent="0.3">
      <c r="B3" s="164" t="s">
        <v>1022</v>
      </c>
      <c r="C3" s="165"/>
      <c r="D3" s="165"/>
      <c r="E3" s="165"/>
      <c r="F3" s="165"/>
      <c r="G3" s="165"/>
      <c r="H3" s="165"/>
      <c r="I3" s="165"/>
      <c r="J3" s="165"/>
      <c r="K3" s="166"/>
    </row>
    <row r="4" spans="2:17" ht="15.75" thickBot="1" x14ac:dyDescent="0.3">
      <c r="B4" s="23"/>
      <c r="C4" s="23"/>
      <c r="D4" s="23"/>
      <c r="E4" s="23"/>
      <c r="F4" s="23"/>
      <c r="G4" s="23"/>
      <c r="H4" s="23"/>
      <c r="I4" s="23"/>
      <c r="J4" s="23"/>
      <c r="K4" s="23"/>
    </row>
    <row r="5" spans="2:17" ht="19.5" thickBot="1" x14ac:dyDescent="0.35">
      <c r="B5" s="168" t="s">
        <v>1068</v>
      </c>
      <c r="C5" s="169"/>
      <c r="D5" s="170"/>
      <c r="E5" s="23"/>
      <c r="F5" s="168" t="s">
        <v>1073</v>
      </c>
      <c r="G5" s="169"/>
      <c r="H5" s="169"/>
      <c r="I5" s="170"/>
      <c r="J5" s="23"/>
      <c r="K5" s="23"/>
    </row>
    <row r="6" spans="2:17" x14ac:dyDescent="0.25">
      <c r="B6" s="23"/>
      <c r="C6" s="23"/>
      <c r="D6" s="23"/>
      <c r="E6" s="23"/>
      <c r="F6" s="23"/>
      <c r="G6" s="23"/>
      <c r="H6" s="23"/>
      <c r="I6" s="23"/>
      <c r="J6" s="23"/>
      <c r="K6" s="23"/>
    </row>
    <row r="7" spans="2:17" s="20" customFormat="1" x14ac:dyDescent="0.25">
      <c r="B7" s="171" t="s">
        <v>1024</v>
      </c>
      <c r="C7" s="171"/>
      <c r="D7" s="171"/>
      <c r="F7" s="171" t="s">
        <v>1024</v>
      </c>
      <c r="G7" s="171"/>
      <c r="H7" s="171"/>
      <c r="I7" s="171"/>
    </row>
    <row r="8" spans="2:17" s="2" customFormat="1" x14ac:dyDescent="0.25">
      <c r="B8" s="21"/>
    </row>
    <row r="9" spans="2:17" ht="15.75" customHeight="1" x14ac:dyDescent="0.25">
      <c r="B9" s="4" t="s">
        <v>1060</v>
      </c>
      <c r="C9" s="158" t="s">
        <v>1026</v>
      </c>
      <c r="D9" s="3"/>
      <c r="E9" s="1"/>
      <c r="F9" s="4" t="s">
        <v>977</v>
      </c>
      <c r="G9" s="162" t="s">
        <v>1072</v>
      </c>
      <c r="H9" s="9"/>
      <c r="I9" s="5"/>
      <c r="J9" s="18"/>
      <c r="O9" s="1"/>
      <c r="P9" s="1"/>
    </row>
    <row r="10" spans="2:17" x14ac:dyDescent="0.25">
      <c r="B10" s="7" t="s">
        <v>1074</v>
      </c>
      <c r="C10" s="158">
        <v>1500000</v>
      </c>
      <c r="D10" s="3" t="s">
        <v>3</v>
      </c>
      <c r="E10" s="1"/>
      <c r="F10" s="4" t="s">
        <v>1061</v>
      </c>
      <c r="G10" s="158">
        <v>1500000</v>
      </c>
      <c r="H10" s="3" t="s">
        <v>3</v>
      </c>
      <c r="I10" s="5"/>
      <c r="K10" s="6"/>
      <c r="O10" s="6"/>
      <c r="P10" s="6"/>
    </row>
    <row r="11" spans="2:17" x14ac:dyDescent="0.25">
      <c r="B11" s="4" t="s">
        <v>976</v>
      </c>
      <c r="C11" s="159">
        <v>43921</v>
      </c>
      <c r="D11" s="3"/>
      <c r="E11" s="1"/>
      <c r="F11" s="4" t="s">
        <v>976</v>
      </c>
      <c r="G11" s="163">
        <v>43831</v>
      </c>
      <c r="H11" s="134" t="s">
        <v>1064</v>
      </c>
      <c r="I11" s="11"/>
      <c r="Q11" s="2"/>
    </row>
    <row r="12" spans="2:17" x14ac:dyDescent="0.25">
      <c r="B12" s="4" t="s">
        <v>975</v>
      </c>
      <c r="C12" s="160">
        <v>44043</v>
      </c>
      <c r="D12" s="3"/>
      <c r="E12" s="1"/>
      <c r="F12" s="4" t="s">
        <v>975</v>
      </c>
      <c r="G12" s="202">
        <v>44012</v>
      </c>
      <c r="H12" s="134" t="s">
        <v>1063</v>
      </c>
      <c r="I12" s="115"/>
      <c r="Q12" s="2"/>
    </row>
    <row r="13" spans="2:17" x14ac:dyDescent="0.25">
      <c r="B13" s="7" t="s">
        <v>1075</v>
      </c>
      <c r="C13" s="158"/>
      <c r="D13" s="3" t="s">
        <v>5</v>
      </c>
      <c r="E13" s="1"/>
      <c r="F13" s="7" t="s">
        <v>1059</v>
      </c>
      <c r="G13" s="158"/>
      <c r="H13" s="3" t="s">
        <v>5</v>
      </c>
      <c r="I13" s="22"/>
      <c r="J13" s="19"/>
      <c r="K13" s="2"/>
    </row>
    <row r="14" spans="2:17" x14ac:dyDescent="0.25">
      <c r="B14" s="7" t="s">
        <v>1058</v>
      </c>
      <c r="C14" s="161"/>
      <c r="D14" s="3" t="s">
        <v>4</v>
      </c>
      <c r="E14" s="1"/>
      <c r="F14" s="7" t="s">
        <v>1058</v>
      </c>
      <c r="G14" s="161"/>
      <c r="H14" s="3" t="s">
        <v>4</v>
      </c>
      <c r="I14" s="22"/>
      <c r="K14" s="2"/>
    </row>
    <row r="15" spans="2:17" x14ac:dyDescent="0.25">
      <c r="E15" s="1"/>
      <c r="H15" s="2"/>
      <c r="I15" s="2"/>
      <c r="K15" s="2"/>
    </row>
    <row r="16" spans="2:17" x14ac:dyDescent="0.25">
      <c r="B16" s="172" t="s">
        <v>1076</v>
      </c>
      <c r="C16" s="173"/>
      <c r="D16" s="174"/>
      <c r="E16" s="1"/>
      <c r="F16" s="167" t="s">
        <v>1010</v>
      </c>
      <c r="G16" s="167"/>
      <c r="H16" s="99"/>
    </row>
    <row r="17" spans="2:13" x14ac:dyDescent="0.25">
      <c r="B17" s="175"/>
      <c r="C17" s="176"/>
      <c r="D17" s="177"/>
      <c r="E17" s="1"/>
      <c r="F17" s="4" t="s">
        <v>1009</v>
      </c>
      <c r="G17" s="3" t="str">
        <f>IF('Calculations End Users'!$D$36="yes","Yes: you'll have a short term coefficient x5 being added to your tariff as you are booking for a duration of less than a month","No")</f>
        <v>No</v>
      </c>
      <c r="H17" s="2"/>
    </row>
    <row r="18" spans="2:13" x14ac:dyDescent="0.25">
      <c r="B18" s="178"/>
      <c r="C18" s="179"/>
      <c r="D18" s="180"/>
      <c r="E18" s="1"/>
      <c r="F18" s="100" t="s">
        <v>1011</v>
      </c>
      <c r="G18" s="98" t="str">
        <f>IF(G9="GERRESHEIMER MOMIGNIES","Yes",IF(G9="WIENERBERGER VELDWEZELT","Yes","No"))</f>
        <v>No</v>
      </c>
      <c r="H18" s="2"/>
    </row>
    <row r="19" spans="2:13" x14ac:dyDescent="0.25">
      <c r="D19" s="1"/>
      <c r="E19" s="1"/>
      <c r="H19" s="2"/>
      <c r="I19" s="2"/>
    </row>
    <row r="20" spans="2:13" x14ac:dyDescent="0.25">
      <c r="B20" s="1" t="str">
        <f ca="1">CONCATENATE("This calculation took place on ",TEXT('Calculations End Users'!B16,"dd mmmm yyyy")," using the transmission tariffs applicable for Fluxys Belgium as from January 1st 2020.")</f>
        <v>This calculation took place on 02 August 2019 using the transmission tariffs applicable for Fluxys Belgium as from January 1st 2020.</v>
      </c>
      <c r="D20" s="1"/>
      <c r="E20" s="1"/>
      <c r="F20" s="22" t="str">
        <f ca="1">CONCATENATE("This calculation took place on ",TEXT('Calculations End Users'!B16,"dd mmmm yyyy")," using the transmission tariffs applicable for Fluxys Belgium as from January 1st 2020.")</f>
        <v>This calculation took place on 02 August 2019 using the transmission tariffs applicable for Fluxys Belgium as from January 1st 2020.</v>
      </c>
      <c r="H20" s="2"/>
      <c r="I20" s="2"/>
    </row>
    <row r="21" spans="2:13" x14ac:dyDescent="0.25">
      <c r="H21" s="8"/>
      <c r="I21" s="8"/>
    </row>
    <row r="22" spans="2:13" s="20" customFormat="1" x14ac:dyDescent="0.25">
      <c r="B22" s="171" t="s">
        <v>974</v>
      </c>
      <c r="C22" s="171"/>
      <c r="D22" s="171"/>
      <c r="F22" s="171" t="s">
        <v>974</v>
      </c>
      <c r="G22" s="171"/>
      <c r="H22" s="171"/>
      <c r="I22" s="171"/>
    </row>
    <row r="23" spans="2:13" x14ac:dyDescent="0.25">
      <c r="B23" s="144"/>
      <c r="H23" s="8"/>
      <c r="I23" s="8"/>
    </row>
    <row r="24" spans="2:13" x14ac:dyDescent="0.25">
      <c r="H24" s="8"/>
      <c r="I24" s="8"/>
    </row>
    <row r="25" spans="2:13" x14ac:dyDescent="0.25">
      <c r="B25" s="144"/>
      <c r="C25" s="144"/>
      <c r="H25" s="8"/>
      <c r="K25" s="167" t="s">
        <v>1023</v>
      </c>
      <c r="L25" s="167"/>
      <c r="M25" s="13"/>
    </row>
    <row r="26" spans="2:13" x14ac:dyDescent="0.25">
      <c r="B26" s="145"/>
      <c r="C26" s="145"/>
      <c r="H26" s="8"/>
      <c r="K26" s="14" t="s">
        <v>996</v>
      </c>
      <c r="L26" s="12">
        <f>SUM('Calculations End Users'!M36:M83)</f>
        <v>0</v>
      </c>
      <c r="M26" s="17"/>
    </row>
    <row r="27" spans="2:13" x14ac:dyDescent="0.25">
      <c r="H27" s="8"/>
      <c r="K27" s="15" t="s">
        <v>997</v>
      </c>
      <c r="L27" s="16">
        <f>SUM('Calculations End Users'!N36:N83)-L28</f>
        <v>182</v>
      </c>
      <c r="M27" s="10"/>
    </row>
    <row r="28" spans="2:13" x14ac:dyDescent="0.25">
      <c r="K28" s="15" t="s">
        <v>998</v>
      </c>
      <c r="L28" s="3">
        <f>IF('Calculations End Users'!E36=5,'Calculations End Users'!B32,0)</f>
        <v>0</v>
      </c>
      <c r="M28" s="135" t="s">
        <v>1065</v>
      </c>
    </row>
    <row r="30" spans="2:13" x14ac:dyDescent="0.25">
      <c r="H30" s="8"/>
    </row>
    <row r="31" spans="2:13" x14ac:dyDescent="0.25">
      <c r="H31" s="8"/>
    </row>
    <row r="32" spans="2:13" x14ac:dyDescent="0.25">
      <c r="H32" s="8"/>
    </row>
    <row r="33" spans="8:9" x14ac:dyDescent="0.25">
      <c r="H33" s="8"/>
    </row>
    <row r="34" spans="8:9" x14ac:dyDescent="0.25">
      <c r="H34" s="8"/>
    </row>
    <row r="35" spans="8:9" x14ac:dyDescent="0.25">
      <c r="H35" s="8"/>
    </row>
    <row r="36" spans="8:9" x14ac:dyDescent="0.25">
      <c r="H36" s="8"/>
      <c r="I36" s="8"/>
    </row>
    <row r="37" spans="8:9" x14ac:dyDescent="0.25">
      <c r="H37" s="8"/>
      <c r="I37" s="8"/>
    </row>
    <row r="38" spans="8:9" x14ac:dyDescent="0.25">
      <c r="H38" s="8"/>
      <c r="I38" s="8"/>
    </row>
    <row r="39" spans="8:9" x14ac:dyDescent="0.25">
      <c r="H39" s="8"/>
      <c r="I39" s="8"/>
    </row>
    <row r="40" spans="8:9" x14ac:dyDescent="0.25">
      <c r="H40" s="8"/>
      <c r="I40" s="8"/>
    </row>
    <row r="41" spans="8:9" x14ac:dyDescent="0.25">
      <c r="H41" s="8"/>
      <c r="I41" s="8"/>
    </row>
    <row r="42" spans="8:9" x14ac:dyDescent="0.25">
      <c r="H42" s="8"/>
      <c r="I42" s="8"/>
    </row>
    <row r="43" spans="8:9" x14ac:dyDescent="0.25">
      <c r="H43" s="8"/>
      <c r="I43" s="8"/>
    </row>
    <row r="177" spans="3:3" x14ac:dyDescent="0.25">
      <c r="C177" s="5"/>
    </row>
  </sheetData>
  <sheetProtection algorithmName="SHA-512" hashValue="q0JuQtJZMLSiRl71DMG/T/CBVaHy6qLnZLt9GGdHQOkwxXs9svb5rvENxposQntKYUAYENZeaRq3EhT2wwlahA==" saltValue="84SmSAe4LQHaArmW8VxYcQ==" spinCount="100000" sheet="1" objects="1" scenarios="1" selectLockedCells="1"/>
  <mergeCells count="11">
    <mergeCell ref="B1:K1"/>
    <mergeCell ref="B3:K3"/>
    <mergeCell ref="K25:L25"/>
    <mergeCell ref="F16:G16"/>
    <mergeCell ref="B5:D5"/>
    <mergeCell ref="B7:D7"/>
    <mergeCell ref="B22:D22"/>
    <mergeCell ref="F22:I22"/>
    <mergeCell ref="F7:I7"/>
    <mergeCell ref="F5:I5"/>
    <mergeCell ref="B16:D1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'Industr. Clients + Power Plants'!$A$2:$A$229</xm:f>
          </x14:formula1>
          <xm:sqref>G9</xm:sqref>
        </x14:dataValidation>
        <x14:dataValidation type="list" allowBlank="1" showInputMessage="1" showErrorMessage="1" xr:uid="{EE3E9AC0-67B8-4D8D-BE26-5F744D990111}">
          <x14:formula1>
            <xm:f>Parameters!$A$3:$A$4</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87DD-2877-460F-BE69-02E4DAB331C5}">
  <sheetPr codeName="Sheet2"/>
  <dimension ref="A1:R121"/>
  <sheetViews>
    <sheetView topLeftCell="A49" workbookViewId="0">
      <selection activeCell="C19" sqref="C19"/>
    </sheetView>
  </sheetViews>
  <sheetFormatPr defaultColWidth="22.28515625" defaultRowHeight="12.75" x14ac:dyDescent="0.2"/>
  <cols>
    <col min="1" max="1" width="38.7109375" style="88" customWidth="1"/>
    <col min="2" max="2" width="30.5703125" style="88" customWidth="1"/>
    <col min="3" max="3" width="22.28515625" style="88"/>
    <col min="4" max="4" width="27.5703125" style="88" customWidth="1"/>
    <col min="5" max="5" width="22.28515625" style="88"/>
    <col min="6" max="6" width="30.140625" style="88" bestFit="1" customWidth="1"/>
    <col min="7" max="8" width="22.28515625" style="88"/>
    <col min="9" max="9" width="30" style="88" customWidth="1"/>
    <col min="10" max="16384" width="22.28515625" style="88"/>
  </cols>
  <sheetData>
    <row r="1" spans="1:15" s="24" customFormat="1" ht="15" x14ac:dyDescent="0.25">
      <c r="A1" s="24" t="s">
        <v>1069</v>
      </c>
    </row>
    <row r="2" spans="1:15" s="25" customFormat="1" ht="15" x14ac:dyDescent="0.25">
      <c r="C2" s="120" t="s">
        <v>1028</v>
      </c>
      <c r="D2" s="26"/>
      <c r="N2" s="26"/>
      <c r="O2" s="26"/>
    </row>
    <row r="3" spans="1:15" s="25" customFormat="1" ht="15" x14ac:dyDescent="0.25">
      <c r="A3" s="187" t="s">
        <v>1018</v>
      </c>
      <c r="B3" s="187"/>
      <c r="C3" s="26"/>
      <c r="N3" s="26"/>
      <c r="O3" s="26"/>
    </row>
    <row r="4" spans="1:15" s="25" customFormat="1" ht="15" x14ac:dyDescent="0.25">
      <c r="A4" s="39" t="str">
        <f>IF(E19="yes",D22,A19)</f>
        <v>High Pressure</v>
      </c>
      <c r="B4" s="113">
        <f>IF(E19="yes",E22,B19)</f>
        <v>587872.60273972608</v>
      </c>
      <c r="C4" s="26"/>
      <c r="N4" s="26"/>
      <c r="O4" s="26"/>
    </row>
    <row r="5" spans="1:15" s="25" customFormat="1" ht="15" x14ac:dyDescent="0.25">
      <c r="A5" s="137" t="str">
        <f>IF(E19="yes",D23,A20)</f>
        <v>Reduced Pressure Service</v>
      </c>
      <c r="B5" s="122">
        <f>IF(E19="yes",E23,B20)</f>
        <v>346253.42465753428</v>
      </c>
      <c r="C5" s="26"/>
      <c r="N5" s="26"/>
      <c r="O5" s="26"/>
    </row>
    <row r="6" spans="1:15" s="25" customFormat="1" ht="15" x14ac:dyDescent="0.25">
      <c r="A6" s="39" t="str">
        <f>A21</f>
        <v xml:space="preserve">Energy in Cash </v>
      </c>
      <c r="B6" s="114">
        <f>B21</f>
        <v>0</v>
      </c>
      <c r="C6" s="26"/>
      <c r="N6" s="26"/>
      <c r="O6" s="26"/>
    </row>
    <row r="7" spans="1:15" s="25" customFormat="1" ht="15" x14ac:dyDescent="0.25">
      <c r="A7" s="31" t="s">
        <v>965</v>
      </c>
      <c r="B7" s="111">
        <f>SUM(B4:B6)</f>
        <v>934126.0273972603</v>
      </c>
      <c r="C7" s="26"/>
      <c r="N7" s="26"/>
      <c r="O7" s="26"/>
    </row>
    <row r="8" spans="1:15" s="25" customFormat="1" ht="15" x14ac:dyDescent="0.25">
      <c r="C8" s="26"/>
      <c r="N8" s="26"/>
      <c r="O8" s="26"/>
    </row>
    <row r="9" spans="1:15" s="25" customFormat="1" ht="15" x14ac:dyDescent="0.25">
      <c r="A9" s="188" t="s">
        <v>962</v>
      </c>
      <c r="B9" s="189"/>
      <c r="C9" s="190"/>
      <c r="N9" s="26"/>
      <c r="O9" s="26"/>
    </row>
    <row r="10" spans="1:15" s="25" customFormat="1" ht="15" x14ac:dyDescent="0.25">
      <c r="A10" s="31"/>
      <c r="B10" s="41" t="s">
        <v>961</v>
      </c>
      <c r="C10" s="39" t="s">
        <v>1</v>
      </c>
      <c r="N10" s="26"/>
      <c r="O10" s="26"/>
    </row>
    <row r="11" spans="1:15" s="25" customFormat="1" ht="15" x14ac:dyDescent="0.25">
      <c r="A11" s="31" t="s">
        <v>917</v>
      </c>
      <c r="B11" s="43">
        <f>IF($B$24="H-zone",Parameters!B8,Parameters!B14)</f>
        <v>1.163</v>
      </c>
      <c r="C11" s="32" t="s">
        <v>960</v>
      </c>
      <c r="N11" s="26"/>
      <c r="O11" s="26"/>
    </row>
    <row r="12" spans="1:15" s="25" customFormat="1" ht="15" x14ac:dyDescent="0.25">
      <c r="A12" s="31" t="s">
        <v>1027</v>
      </c>
      <c r="B12" s="43">
        <f>IF($B$24="H-zone",Parameters!B9,Parameters!B15)</f>
        <v>0.68500000000000005</v>
      </c>
      <c r="C12" s="32" t="s">
        <v>960</v>
      </c>
      <c r="N12" s="26"/>
      <c r="O12" s="26"/>
    </row>
    <row r="13" spans="1:15" s="25" customFormat="1" ht="15" x14ac:dyDescent="0.25">
      <c r="C13" s="26"/>
      <c r="N13" s="26"/>
      <c r="O13" s="26"/>
    </row>
    <row r="14" spans="1:15" s="25" customFormat="1" ht="15" x14ac:dyDescent="0.25">
      <c r="A14" s="29" t="s">
        <v>999</v>
      </c>
      <c r="B14" s="30">
        <f ca="1">TODAY()</f>
        <v>43679</v>
      </c>
      <c r="C14" s="26"/>
      <c r="H14" s="87"/>
      <c r="I14" s="28"/>
      <c r="N14" s="26"/>
      <c r="O14" s="26"/>
    </row>
    <row r="15" spans="1:15" s="25" customFormat="1" ht="15" x14ac:dyDescent="0.25">
      <c r="A15" s="191"/>
      <c r="B15" s="191"/>
      <c r="C15" s="26"/>
      <c r="D15" s="48"/>
      <c r="E15" s="44"/>
      <c r="F15" s="44"/>
      <c r="I15" s="28"/>
      <c r="N15" s="26"/>
      <c r="O15" s="26"/>
    </row>
    <row r="16" spans="1:15" s="25" customFormat="1" ht="15" x14ac:dyDescent="0.25">
      <c r="A16" s="54" t="s">
        <v>1066</v>
      </c>
      <c r="B16" s="119" t="str">
        <f>CONCATENATE("Being allocated"," ",TEXT(Simulation!C10,"###.###")," ",Simulation!H10," ","from"," ",TEXT(Simulation!C11,"dd mmmm yyyy")," ","to"," ",TEXT(Simulation!C12,"dd mmmm yyyy")," on a ",Simulation!C9," Distribution Domestic Exit Point"," will cost a total of ",TEXT(B7,"€ ###.###"))</f>
        <v>Being allocated 1.500.000 kWh/h from 31 March 2020 to 31 July 2020 on a Low-calorific gas Distribution Domestic Exit Point will cost a total of € 934.126</v>
      </c>
      <c r="C16" s="26"/>
      <c r="D16" s="48"/>
      <c r="E16" s="44"/>
      <c r="F16" s="44"/>
      <c r="I16" s="28"/>
      <c r="N16" s="26"/>
      <c r="O16" s="26"/>
    </row>
    <row r="17" spans="1:18" s="25" customFormat="1" ht="15" x14ac:dyDescent="0.25">
      <c r="C17" s="26"/>
      <c r="D17" s="48"/>
      <c r="E17" s="44"/>
      <c r="F17" s="44"/>
      <c r="I17" s="28"/>
      <c r="N17" s="26"/>
      <c r="O17" s="26"/>
    </row>
    <row r="18" spans="1:18" s="25" customFormat="1" ht="15" x14ac:dyDescent="0.25">
      <c r="A18" s="187" t="s">
        <v>980</v>
      </c>
      <c r="B18" s="187"/>
      <c r="C18" s="26"/>
      <c r="D18" s="46"/>
      <c r="E18" s="46"/>
      <c r="F18" s="138"/>
      <c r="I18" s="28"/>
      <c r="N18" s="26"/>
      <c r="O18" s="26"/>
    </row>
    <row r="19" spans="1:18" s="25" customFormat="1" ht="15" x14ac:dyDescent="0.25">
      <c r="A19" s="33" t="s">
        <v>963</v>
      </c>
      <c r="B19" s="34">
        <f>SUM(O33:O104)</f>
        <v>587872.60273972608</v>
      </c>
      <c r="C19" s="26"/>
      <c r="D19" s="139"/>
      <c r="E19" s="44"/>
      <c r="F19" s="44"/>
      <c r="I19" s="28"/>
      <c r="N19" s="26"/>
      <c r="O19" s="26"/>
    </row>
    <row r="20" spans="1:18" s="25" customFormat="1" ht="15" x14ac:dyDescent="0.25">
      <c r="A20" s="33" t="s">
        <v>1029</v>
      </c>
      <c r="B20" s="34">
        <f>SUM(P33:P104)</f>
        <v>346253.42465753428</v>
      </c>
      <c r="C20" s="26"/>
      <c r="D20" s="140"/>
      <c r="E20" s="141"/>
      <c r="F20" s="138"/>
      <c r="I20" s="28"/>
      <c r="N20" s="26"/>
      <c r="O20" s="26"/>
    </row>
    <row r="21" spans="1:18" s="25" customFormat="1" ht="15" x14ac:dyDescent="0.25">
      <c r="A21" s="31" t="s">
        <v>978</v>
      </c>
      <c r="B21" s="34">
        <f>(Parameters!B18/100)*Simulation!C13*Simulation!C14</f>
        <v>0</v>
      </c>
      <c r="C21" s="26"/>
      <c r="D21" s="140"/>
      <c r="E21" s="142"/>
      <c r="F21" s="138"/>
      <c r="I21" s="28"/>
      <c r="N21" s="26"/>
      <c r="O21" s="26"/>
    </row>
    <row r="22" spans="1:18" s="25" customFormat="1" ht="15" x14ac:dyDescent="0.25">
      <c r="A22" s="31" t="s">
        <v>965</v>
      </c>
      <c r="B22" s="37">
        <f>SUM(B19:B21)</f>
        <v>934126.0273972603</v>
      </c>
      <c r="D22" s="139"/>
      <c r="E22" s="110"/>
      <c r="F22" s="139"/>
      <c r="I22" s="28"/>
      <c r="N22" s="26"/>
      <c r="O22" s="26"/>
    </row>
    <row r="23" spans="1:18" s="25" customFormat="1" ht="15" x14ac:dyDescent="0.25">
      <c r="C23" s="26"/>
      <c r="D23" s="139"/>
      <c r="E23" s="110"/>
      <c r="F23" s="139"/>
      <c r="H23" s="38"/>
      <c r="I23" s="28"/>
      <c r="N23" s="26"/>
      <c r="O23" s="26"/>
    </row>
    <row r="24" spans="1:18" s="25" customFormat="1" ht="15" x14ac:dyDescent="0.25">
      <c r="A24" s="39" t="s">
        <v>964</v>
      </c>
      <c r="B24" s="40" t="str">
        <f>IF(Simulation!C9="High-calorific gas","H-zone","L-zone")</f>
        <v>L-zone</v>
      </c>
      <c r="C24" s="26"/>
      <c r="D24" s="109"/>
      <c r="E24" s="110"/>
      <c r="F24" s="44"/>
      <c r="H24" s="42"/>
      <c r="I24" s="28"/>
      <c r="N24" s="26"/>
      <c r="O24" s="26"/>
    </row>
    <row r="25" spans="1:18" s="25" customFormat="1" ht="15" x14ac:dyDescent="0.25">
      <c r="A25" s="33" t="s">
        <v>963</v>
      </c>
      <c r="B25" s="32">
        <v>1</v>
      </c>
      <c r="C25" s="26"/>
      <c r="H25" s="44"/>
      <c r="I25" s="28"/>
      <c r="N25" s="26"/>
      <c r="O25" s="26"/>
    </row>
    <row r="26" spans="1:18" s="25" customFormat="1" ht="15" x14ac:dyDescent="0.25">
      <c r="A26" s="33" t="s">
        <v>1029</v>
      </c>
      <c r="B26" s="32">
        <v>1</v>
      </c>
      <c r="C26" s="26"/>
      <c r="H26" s="44"/>
      <c r="I26" s="28"/>
      <c r="N26" s="26"/>
      <c r="O26" s="26"/>
    </row>
    <row r="27" spans="1:18" s="25" customFormat="1" ht="15" x14ac:dyDescent="0.25">
      <c r="A27" s="33" t="s">
        <v>916</v>
      </c>
      <c r="B27" s="32">
        <v>0</v>
      </c>
      <c r="C27" s="26"/>
      <c r="D27" s="26"/>
      <c r="H27" s="48"/>
      <c r="I27" s="47"/>
      <c r="J27" s="49"/>
      <c r="N27" s="26"/>
      <c r="O27" s="26"/>
    </row>
    <row r="28" spans="1:18" s="25" customFormat="1" ht="15" x14ac:dyDescent="0.25">
      <c r="C28" s="26"/>
      <c r="D28" s="26"/>
      <c r="H28" s="50"/>
      <c r="I28" s="45"/>
      <c r="J28" s="50"/>
      <c r="N28" s="26"/>
      <c r="O28" s="26"/>
    </row>
    <row r="29" spans="1:18" s="25" customFormat="1" ht="15" x14ac:dyDescent="0.25">
      <c r="A29" s="39" t="s">
        <v>958</v>
      </c>
      <c r="B29" s="32">
        <f>Simulation!G12-Simulation!G11+1</f>
        <v>182</v>
      </c>
      <c r="C29" s="48"/>
      <c r="D29" s="48"/>
      <c r="G29" s="51"/>
      <c r="H29" s="51"/>
      <c r="I29" s="28"/>
      <c r="N29" s="26"/>
      <c r="O29" s="26"/>
    </row>
    <row r="30" spans="1:18" s="25" customFormat="1" ht="15" x14ac:dyDescent="0.25">
      <c r="A30" s="42"/>
      <c r="B30" s="44"/>
      <c r="C30" s="48"/>
      <c r="D30" s="48"/>
      <c r="G30" s="52"/>
      <c r="H30" s="52"/>
      <c r="I30" s="53"/>
      <c r="N30" s="26"/>
      <c r="O30" s="26"/>
    </row>
    <row r="31" spans="1:18" s="44" customFormat="1" ht="15" x14ac:dyDescent="0.25">
      <c r="A31" s="54"/>
      <c r="B31" s="55"/>
      <c r="C31" s="48"/>
      <c r="D31" s="192"/>
      <c r="E31" s="192"/>
      <c r="F31" s="56"/>
      <c r="I31" s="57"/>
      <c r="M31" s="58"/>
      <c r="N31" s="58"/>
      <c r="O31" s="48"/>
    </row>
    <row r="32" spans="1:18" s="50" customFormat="1" ht="15" x14ac:dyDescent="0.25">
      <c r="A32" s="39" t="s">
        <v>957</v>
      </c>
      <c r="B32" s="39" t="s">
        <v>956</v>
      </c>
      <c r="C32" s="39" t="s">
        <v>955</v>
      </c>
      <c r="D32" s="59" t="s">
        <v>954</v>
      </c>
      <c r="E32" s="123" t="s">
        <v>953</v>
      </c>
      <c r="F32" s="137" t="s">
        <v>1070</v>
      </c>
      <c r="G32" s="31" t="s">
        <v>984</v>
      </c>
      <c r="H32" s="31" t="s">
        <v>992</v>
      </c>
      <c r="I32" s="31" t="s">
        <v>987</v>
      </c>
      <c r="J32" s="31" t="s">
        <v>993</v>
      </c>
      <c r="K32" s="31" t="s">
        <v>994</v>
      </c>
      <c r="L32" s="36" t="s">
        <v>995</v>
      </c>
      <c r="M32" s="36" t="s">
        <v>985</v>
      </c>
      <c r="N32" s="31" t="s">
        <v>986</v>
      </c>
      <c r="O32" s="59" t="s">
        <v>952</v>
      </c>
      <c r="P32" s="123" t="s">
        <v>1030</v>
      </c>
      <c r="Q32" s="39" t="s">
        <v>1020</v>
      </c>
      <c r="R32" s="39" t="s">
        <v>1002</v>
      </c>
    </row>
    <row r="33" spans="1:18" s="25" customFormat="1" ht="15" x14ac:dyDescent="0.25">
      <c r="A33" s="60">
        <v>43101</v>
      </c>
      <c r="B33" s="61">
        <v>43101</v>
      </c>
      <c r="C33" s="62">
        <f>MAX(0,MIN(EOMONTH(B33,0),Simulation!$C$12)-MAX(B33,Simulation!$C$11)+1)</f>
        <v>0</v>
      </c>
      <c r="D33" s="181" t="str">
        <f>IF(B106=2,IF(B29&gt;=28,"no","yes"),IF(OR(B106=4,B106=6,B106=9,B106=11),IF(B29&gt;=30,"No","yes"),IF(B29&gt;=31,"No","Yes")))</f>
        <v>No</v>
      </c>
      <c r="E33" s="183">
        <v>1</v>
      </c>
      <c r="F33" s="143">
        <v>1</v>
      </c>
      <c r="G33" s="63">
        <f t="shared" ref="G33:G96" si="0">DAY(EOMONTH(A33,0))</f>
        <v>31</v>
      </c>
      <c r="H33" s="185">
        <f>IF(Simulation!$C$12&gt;=$B$108,IF(Simulation!$C$12&gt;=$B$109,IF(Simulation!$C$12&gt;=$B$110,IF(Simulation!$C$12=$B$111,4,3),2),1),0)</f>
        <v>0</v>
      </c>
      <c r="I33" s="64">
        <f>IF(Simulation!$C$12&gt;=$B$108,IF(AND(YEAR(Simulation!$C$11)=YEAR(A33),MONTH(A33)=MONTH(Simulation!$C$11)),1,0),0)</f>
        <v>0</v>
      </c>
      <c r="J33" s="65">
        <f>IF($H$33=0,0,IF($H$33=1,SUM(I22:I33),IF($H$33=2,SUM(I14:I33),IF($H$33=3,SUM(I14:I33),IF($H$33=4,SUM(I14:I33),"more than 4 years")))))</f>
        <v>0</v>
      </c>
      <c r="K33" s="66" t="str">
        <f t="shared" ref="K33:K96" si="1">IF((M33+N33)&lt;&gt;C33,"issue","ok")</f>
        <v>ok</v>
      </c>
      <c r="L33" s="66">
        <f>IF(J33=1,IF(J34=0,IF(DAY(Simulation!$C$11)=1,0,DAY(Simulation!$C$11)-1),0),0)</f>
        <v>0</v>
      </c>
      <c r="M33" s="63">
        <f>IF(AND(J32=1,J33=1,J34=0,DAY(Simulation!$C$11)=1),0,IF(J33=1,IF(L33&lt;&gt;0,L33,C33),0))</f>
        <v>0</v>
      </c>
      <c r="N33" s="67">
        <f t="shared" ref="N33:N96" si="2">MAX(0,C33-M33)</f>
        <v>0</v>
      </c>
      <c r="O33" s="68">
        <f>IF($E$33=5,(($B$25*$B$11)/365)*$C33*$E$33*$F33*Simulation!$C$10,((($B$25*$B$11)/365)*$M33*Simulation!$C$10)+(($B$25*$B$11)/365)*$N33*$F33*Simulation!$C$10)</f>
        <v>0</v>
      </c>
      <c r="P33" s="69">
        <f>IF($E$33=5,(($B$26*$B$12)/365)*$C33*$E$33*$F33*Simulation!$C$10,((($B$26*$B$12)/365)*$M33*Simulation!$C$10)+(($B$26*$B$12)/365)*$N33*$F33*Simulation!$C$10)</f>
        <v>0</v>
      </c>
      <c r="Q33" s="107">
        <f>IF($E$33=5,($E$20/365)*$C33*$E$33*$F33*Simulation!$C$10,(($E$20/365)*$M33*Simulation!$C$10)+($E$20/365)*$N33*$F33*Simulation!$C$10)</f>
        <v>0</v>
      </c>
      <c r="R33" s="107" t="e">
        <f>IF($E$33=5,($E$21*#REF!/365)*$C33*$E$33*$F33*Simulation!$C$10,(($E$21*#REF!/365)*$M33*Simulation!$C$10)+($E$21*#REF!/365)*$N33*$F33*Simulation!$C$10)</f>
        <v>#REF!</v>
      </c>
    </row>
    <row r="34" spans="1:18" s="25" customFormat="1" ht="15" x14ac:dyDescent="0.25">
      <c r="A34" s="60">
        <v>43132</v>
      </c>
      <c r="B34" s="61">
        <v>43132</v>
      </c>
      <c r="C34" s="62">
        <f>MAX(0,MIN(EOMONTH(B34,0),Simulation!$C$12)-MAX(B34,Simulation!$C$11)+1)</f>
        <v>0</v>
      </c>
      <c r="D34" s="182"/>
      <c r="E34" s="184"/>
      <c r="F34" s="143">
        <v>1</v>
      </c>
      <c r="G34" s="63">
        <f t="shared" si="0"/>
        <v>28</v>
      </c>
      <c r="H34" s="186"/>
      <c r="I34" s="64">
        <f>IF(Simulation!$C$12&gt;=$B$108,IF(AND(YEAR(Simulation!$C$11)=YEAR(A34),MONTH(A34)=MONTH(Simulation!$C$11)),1,0),0)</f>
        <v>0</v>
      </c>
      <c r="J34" s="65">
        <f>IF($H$33=0,0,IF($H$33=1,SUM(I23:I34),IF($H$33=2,SUM(I15:I34),IF($H$33=3,SUM(I14:I34),IF($H$33=4,SUM(I14:I34),"more than 4 years")))))</f>
        <v>0</v>
      </c>
      <c r="K34" s="66" t="str">
        <f t="shared" si="1"/>
        <v>ok</v>
      </c>
      <c r="L34" s="66">
        <f>IF(J34=1,IF(J35=0,IF(DAY(Simulation!$C$11)=1,0,DAY(Simulation!$C$11)-1),0),0)</f>
        <v>0</v>
      </c>
      <c r="M34" s="63">
        <f>IF(AND(J33=1,J34=1,J35=0,DAY(Simulation!$C$11)=1),0,IF(J34=1,IF(L34&lt;&gt;0,L34,C34),0))</f>
        <v>0</v>
      </c>
      <c r="N34" s="67">
        <f t="shared" si="2"/>
        <v>0</v>
      </c>
      <c r="O34" s="68">
        <f>IF($E$33=5,(($B$25*$B$11)/365)*$C34*$E$33*$F34*Simulation!$C$10,((($B$25*$B$11)/365)*$M34*Simulation!$C$10)+(($B$25*$B$11)/365)*$N34*$F34*Simulation!$C$10)</f>
        <v>0</v>
      </c>
      <c r="P34" s="69">
        <f>IF($E$33=5,(($B$26*$B$12)/365)*$C34*$E$33*$F34*Simulation!$C$10,((($B$26*$B$12)/365)*$M34*Simulation!$C$10)+(($B$26*$B$12)/365)*$N34*$F34*Simulation!$C$10)</f>
        <v>0</v>
      </c>
      <c r="Q34" s="107">
        <f>IF($E$33=5,($E$20/365)*$C34*$E$33*$F34*Simulation!$C$10,(($E$20/365)*$M34*Simulation!$C$10)+($E$20/365)*$N34*$F34*Simulation!$C$10)</f>
        <v>0</v>
      </c>
      <c r="R34" s="107" t="e">
        <f>IF($E$33=5,($E$21*#REF!/365)*$C34*$E$33*$F34*Simulation!$C$10,(($E$21*#REF!/365)*$M34*Simulation!$C$10)+($E$21*#REF!/365)*$N34*$F34*Simulation!$C$10)</f>
        <v>#REF!</v>
      </c>
    </row>
    <row r="35" spans="1:18" s="25" customFormat="1" ht="15" x14ac:dyDescent="0.25">
      <c r="A35" s="60">
        <v>43160</v>
      </c>
      <c r="B35" s="61">
        <v>43160</v>
      </c>
      <c r="C35" s="62">
        <f>MAX(0,MIN(EOMONTH(B35,0),Simulation!$C$12)-MAX(B35,Simulation!$C$11)+1)</f>
        <v>0</v>
      </c>
      <c r="D35" s="182"/>
      <c r="E35" s="184"/>
      <c r="F35" s="143">
        <v>1</v>
      </c>
      <c r="G35" s="63">
        <f t="shared" si="0"/>
        <v>31</v>
      </c>
      <c r="H35" s="186"/>
      <c r="I35" s="64">
        <f>IF(Simulation!$C$12&gt;=$B$108,IF(AND(YEAR(Simulation!$C$11)=YEAR(A35),MONTH(A35)=MONTH(Simulation!$C$11)),1,0),0)</f>
        <v>0</v>
      </c>
      <c r="J35" s="65">
        <f>IF($H$33=0,0,IF($H$33=1,SUM(I24:I35),IF($H$33=2,SUM(I15:I35),IF($H$33=3,SUM(I14:I35),IF($H$33=4,SUM(I14:I35),"more than 4 years")))))</f>
        <v>0</v>
      </c>
      <c r="K35" s="66" t="str">
        <f t="shared" si="1"/>
        <v>ok</v>
      </c>
      <c r="L35" s="66">
        <f>IF(J35=1,IF(J36=0,IF(DAY(Simulation!$C$11)=1,0,DAY(Simulation!$C$11)-1),0),0)</f>
        <v>0</v>
      </c>
      <c r="M35" s="63">
        <f>IF(AND(J34=1,J35=1,J36=0,DAY(Simulation!$C$11)=1),0,IF(J35=1,IF(L35&lt;&gt;0,L35,C35),0))</f>
        <v>0</v>
      </c>
      <c r="N35" s="67">
        <f t="shared" si="2"/>
        <v>0</v>
      </c>
      <c r="O35" s="68">
        <f>IF($E$33=5,(($B$25*$B$11)/365)*$C35*$E$33*$F35*Simulation!$C$10,((($B$25*$B$11)/365)*$M35*Simulation!$C$10)+(($B$25*$B$11)/365)*$N35*$F35*Simulation!$C$10)</f>
        <v>0</v>
      </c>
      <c r="P35" s="69">
        <f>IF($E$33=5,(($B$26*$B$12)/365)*$C35*$E$33*$F35*Simulation!$C$10,((($B$26*$B$12)/365)*$M35*Simulation!$C$10)+(($B$26*$B$12)/365)*$N35*$F35*Simulation!$C$10)</f>
        <v>0</v>
      </c>
      <c r="Q35" s="107">
        <f>IF($E$33=5,($E$20/365)*$C35*$E$33*$F35*Simulation!$C$10,(($E$20/365)*$M35*Simulation!$C$10)+($E$20/365)*$N35*$F35*Simulation!$C$10)</f>
        <v>0</v>
      </c>
      <c r="R35" s="107" t="e">
        <f>IF($E$33=5,($E$21*#REF!/365)*$C35*$E$33*$F35*Simulation!$C$10,(($E$21*#REF!/365)*$M35*Simulation!$C$10)+($E$21*#REF!/365)*$N35*$F35*Simulation!$C$10)</f>
        <v>#REF!</v>
      </c>
    </row>
    <row r="36" spans="1:18" s="25" customFormat="1" ht="15" x14ac:dyDescent="0.25">
      <c r="A36" s="60">
        <v>43191</v>
      </c>
      <c r="B36" s="61">
        <v>43191</v>
      </c>
      <c r="C36" s="62">
        <f>MAX(0,MIN(EOMONTH(B36,0),Simulation!$C$12)-MAX(B36,Simulation!$C$11)+1)</f>
        <v>0</v>
      </c>
      <c r="D36" s="182"/>
      <c r="E36" s="184"/>
      <c r="F36" s="143">
        <v>1</v>
      </c>
      <c r="G36" s="63">
        <f t="shared" si="0"/>
        <v>30</v>
      </c>
      <c r="H36" s="186"/>
      <c r="I36" s="64">
        <f>IF(Simulation!$C$12&gt;=$B$108,IF(AND(YEAR(Simulation!$C$11)=YEAR(A36),MONTH(A36)=MONTH(Simulation!$C$11)),1,0),0)</f>
        <v>0</v>
      </c>
      <c r="J36" s="65">
        <f>IF($H$33=0,0,IF($H$33=1,SUM(I25:I36),IF($H$33=2,SUM(I15:I36),IF($H$33=3,SUM(I14:I36),IF($H$33=4,SUM(I14:I36),"more than 4 years")))))</f>
        <v>0</v>
      </c>
      <c r="K36" s="66" t="str">
        <f t="shared" si="1"/>
        <v>ok</v>
      </c>
      <c r="L36" s="66">
        <f>IF(J36=1,IF(J37=0,IF(DAY(Simulation!$C$11)=1,0,DAY(Simulation!$C$11)-1),0),0)</f>
        <v>0</v>
      </c>
      <c r="M36" s="63">
        <f>IF(AND(J35=1,J36=1,J37=0,DAY(Simulation!$C$11)=1),0,IF(J36=1,IF(L36&lt;&gt;0,L36,C36),0))</f>
        <v>0</v>
      </c>
      <c r="N36" s="67">
        <f t="shared" si="2"/>
        <v>0</v>
      </c>
      <c r="O36" s="68">
        <f>IF($E$33=5,(($B$25*$B$11)/365)*$C36*$E$33*$F36*Simulation!$C$10,((($B$25*$B$11)/365)*$M36*Simulation!$C$10)+(($B$25*$B$11)/365)*$N36*$F36*Simulation!$C$10)</f>
        <v>0</v>
      </c>
      <c r="P36" s="69">
        <f>IF($E$33=5,(($B$26*$B$12)/365)*$C36*$E$33*$F36*Simulation!$C$10,((($B$26*$B$12)/365)*$M36*Simulation!$C$10)+(($B$26*$B$12)/365)*$N36*$F36*Simulation!$C$10)</f>
        <v>0</v>
      </c>
      <c r="Q36" s="107">
        <f>IF($E$33=5,($E$20/365)*$C36*$E$33*$F36*Simulation!$C$10,(($E$20/365)*$M36*Simulation!$C$10)+($E$20/365)*$N36*$F36*Simulation!$C$10)</f>
        <v>0</v>
      </c>
      <c r="R36" s="107" t="e">
        <f>IF($E$33=5,($E$21*#REF!/365)*$C36*$E$33*$F36*Simulation!$C$10,(($E$21*#REF!/365)*$M36*Simulation!$C$10)+($E$21*#REF!/365)*$N36*$F36*Simulation!$C$10)</f>
        <v>#REF!</v>
      </c>
    </row>
    <row r="37" spans="1:18" s="25" customFormat="1" ht="15" x14ac:dyDescent="0.25">
      <c r="A37" s="60">
        <v>43221</v>
      </c>
      <c r="B37" s="61">
        <v>43221</v>
      </c>
      <c r="C37" s="62">
        <f>MAX(0,MIN(EOMONTH(B37,0),Simulation!$C$12)-MAX(B37,Simulation!$C$11)+1)</f>
        <v>0</v>
      </c>
      <c r="D37" s="182"/>
      <c r="E37" s="184"/>
      <c r="F37" s="143">
        <v>1</v>
      </c>
      <c r="G37" s="63">
        <f t="shared" si="0"/>
        <v>31</v>
      </c>
      <c r="H37" s="186"/>
      <c r="I37" s="64">
        <f>IF(Simulation!$C$12&gt;=$B$108,IF(AND(YEAR(Simulation!$C$11)=YEAR(A37),MONTH(A37)=MONTH(Simulation!$C$11)),1,0),0)</f>
        <v>0</v>
      </c>
      <c r="J37" s="65">
        <f>IF($H$33=0,0,IF($H$33=1,SUM(I27:I37),IF($H$33=2,SUM(I16:I37),IF($H$33=3,SUM(I14:I37),IF($H$33=4,SUM(I14:I37),"more than 4 years")))))</f>
        <v>0</v>
      </c>
      <c r="K37" s="66" t="str">
        <f t="shared" si="1"/>
        <v>ok</v>
      </c>
      <c r="L37" s="66">
        <f>IF(J37=1,IF(J38=0,IF(DAY(Simulation!$C$11)=1,0,DAY(Simulation!$C$11)-1),0),0)</f>
        <v>0</v>
      </c>
      <c r="M37" s="63">
        <f>IF(AND(J36=1,J37=1,J38=0,DAY(Simulation!$C$11)=1),0,IF(J37=1,IF(L37&lt;&gt;0,L37,C37),0))</f>
        <v>0</v>
      </c>
      <c r="N37" s="67">
        <f t="shared" si="2"/>
        <v>0</v>
      </c>
      <c r="O37" s="68">
        <f>IF($E$33=5,(($B$25*$B$11)/365)*$C37*$E$33*$F37*Simulation!$C$10,((($B$25*$B$11)/365)*$M37*Simulation!$C$10)+(($B$25*$B$11)/365)*$N37*$F37*Simulation!$C$10)</f>
        <v>0</v>
      </c>
      <c r="P37" s="69">
        <f>IF($E$33=5,(($B$26*$B$12)/365)*$C37*$E$33*$F37*Simulation!$C$10,((($B$26*$B$12)/365)*$M37*Simulation!$C$10)+(($B$26*$B$12)/365)*$N37*$F37*Simulation!$C$10)</f>
        <v>0</v>
      </c>
      <c r="Q37" s="107">
        <f>IF($E$33=5,($E$20/365)*$C37*$E$33*$F37*Simulation!$C$10,(($E$20/365)*$M37*Simulation!$C$10)+($E$20/365)*$N37*$F37*Simulation!$C$10)</f>
        <v>0</v>
      </c>
      <c r="R37" s="107" t="e">
        <f>IF($E$33=5,($E$21*#REF!/365)*$C37*$E$33*$F37*Simulation!$C$10,(($E$21*#REF!/365)*$M37*Simulation!$C$10)+($E$21*#REF!/365)*$N37*$F37*Simulation!$C$10)</f>
        <v>#REF!</v>
      </c>
    </row>
    <row r="38" spans="1:18" s="25" customFormat="1" ht="15" x14ac:dyDescent="0.25">
      <c r="A38" s="60">
        <v>43252</v>
      </c>
      <c r="B38" s="61">
        <v>43252</v>
      </c>
      <c r="C38" s="62">
        <f>MAX(0,MIN(EOMONTH(B38,0),Simulation!$C$12)-MAX(B38,Simulation!$C$11)+1)</f>
        <v>0</v>
      </c>
      <c r="D38" s="182"/>
      <c r="E38" s="184"/>
      <c r="F38" s="143">
        <v>1</v>
      </c>
      <c r="G38" s="63">
        <f t="shared" si="0"/>
        <v>30</v>
      </c>
      <c r="H38" s="186"/>
      <c r="I38" s="64">
        <f>IF(Simulation!$C$12&gt;=$B$108,IF(AND(YEAR(Simulation!$C$11)=YEAR(A38),MONTH(A38)=MONTH(Simulation!$C$11)),1,0),0)</f>
        <v>0</v>
      </c>
      <c r="J38" s="65">
        <f>IF($H$33=0,0,IF($H$33=1,SUM(I27:I38),IF($H$33=2,SUM(I17:I38),IF($H$33=3,SUM(I14:I38),IF($H$33=4,SUM(I14:I38),"more than 4 years")))))</f>
        <v>0</v>
      </c>
      <c r="K38" s="66" t="str">
        <f t="shared" si="1"/>
        <v>ok</v>
      </c>
      <c r="L38" s="66">
        <f>IF(J38=1,IF(J39=0,IF(DAY(Simulation!$C$11)=1,0,DAY(Simulation!$C$11)-1),0),0)</f>
        <v>0</v>
      </c>
      <c r="M38" s="63">
        <f>IF(AND(J37=1,J38=1,J39=0,DAY(Simulation!$C$11)=1),0,IF(J38=1,IF(L38&lt;&gt;0,L38,C38),0))</f>
        <v>0</v>
      </c>
      <c r="N38" s="67">
        <f t="shared" si="2"/>
        <v>0</v>
      </c>
      <c r="O38" s="68">
        <f>IF($E$33=5,(($B$25*$B$11)/365)*$C38*$E$33*$F38*Simulation!$C$10,((($B$25*$B$11)/365)*$M38*Simulation!$C$10)+(($B$25*$B$11)/365)*$N38*$F38*Simulation!$C$10)</f>
        <v>0</v>
      </c>
      <c r="P38" s="69">
        <f>IF($E$33=5,(($B$26*$B$12)/365)*$C38*$E$33*$F38*Simulation!$C$10,((($B$26*$B$12)/365)*$M38*Simulation!$C$10)+(($B$26*$B$12)/365)*$N38*$F38*Simulation!$C$10)</f>
        <v>0</v>
      </c>
      <c r="Q38" s="107">
        <f>IF($E$33=5,($E$20/365)*$C38*$E$33*$F38*Simulation!$C$10,(($E$20/365)*$M38*Simulation!$C$10)+($E$20/365)*$N38*$F38*Simulation!$C$10)</f>
        <v>0</v>
      </c>
      <c r="R38" s="107" t="e">
        <f>IF($E$33=5,($E$21*#REF!/365)*$C38*$E$33*$F38*Simulation!$C$10,(($E$21*#REF!/365)*$M38*Simulation!$C$10)+($E$21*#REF!/365)*$N38*$F38*Simulation!$C$10)</f>
        <v>#REF!</v>
      </c>
    </row>
    <row r="39" spans="1:18" s="25" customFormat="1" ht="15" x14ac:dyDescent="0.25">
      <c r="A39" s="60">
        <v>43282</v>
      </c>
      <c r="B39" s="61">
        <v>43282</v>
      </c>
      <c r="C39" s="62">
        <f>MAX(0,MIN(EOMONTH(B39,0),Simulation!$C$12)-MAX(B39,Simulation!$C$11)+1)</f>
        <v>0</v>
      </c>
      <c r="D39" s="182"/>
      <c r="E39" s="184"/>
      <c r="F39" s="143">
        <v>1</v>
      </c>
      <c r="G39" s="63">
        <f t="shared" si="0"/>
        <v>31</v>
      </c>
      <c r="H39" s="186"/>
      <c r="I39" s="64">
        <f>IF(Simulation!$C$12&gt;=$B$108,IF(AND(YEAR(Simulation!$C$11)=YEAR(A39),MONTH(A39)=MONTH(Simulation!$C$11)),1,0),0)</f>
        <v>0</v>
      </c>
      <c r="J39" s="65">
        <f>IF($H$33=0,0,IF($H$33=1,SUM(I27:I39),IF($H$33=2,SUM(I18:I39),IF($H$33=3,SUM(I14:I39),IF($H$33=4,SUM(I14:I39),"more than 4 years")))))</f>
        <v>0</v>
      </c>
      <c r="K39" s="66" t="str">
        <f t="shared" si="1"/>
        <v>ok</v>
      </c>
      <c r="L39" s="66">
        <f>IF(J39=1,IF(J40=0,IF(DAY(Simulation!$C$11)=1,0,DAY(Simulation!$C$11)-1),0),0)</f>
        <v>0</v>
      </c>
      <c r="M39" s="63">
        <f>IF(AND(J38=1,J39=1,J40=0,DAY(Simulation!$C$11)=1),0,IF(J39=1,IF(L39&lt;&gt;0,L39,C39),0))</f>
        <v>0</v>
      </c>
      <c r="N39" s="67">
        <f t="shared" si="2"/>
        <v>0</v>
      </c>
      <c r="O39" s="68">
        <f>IF($E$33=5,(($B$25*$B$11)/365)*$C39*$E$33*$F39*Simulation!$C$10,((($B$25*$B$11)/365)*$M39*Simulation!$C$10)+(($B$25*$B$11)/365)*$N39*$F39*Simulation!$C$10)</f>
        <v>0</v>
      </c>
      <c r="P39" s="69">
        <f>IF($E$33=5,(($B$26*$B$12)/365)*$C39*$E$33*$F39*Simulation!$C$10,((($B$26*$B$12)/365)*$M39*Simulation!$C$10)+(($B$26*$B$12)/365)*$N39*$F39*Simulation!$C$10)</f>
        <v>0</v>
      </c>
      <c r="Q39" s="107">
        <f>IF($E$33=5,($E$20/365)*$C39*$E$33*$F39*Simulation!$C$10,(($E$20/365)*$M39*Simulation!$C$10)+($E$20/365)*$N39*$F39*Simulation!$C$10)</f>
        <v>0</v>
      </c>
      <c r="R39" s="107" t="e">
        <f>IF($E$33=5,($E$21*#REF!/365)*$C39*$E$33*$F39*Simulation!$C$10,(($E$21*#REF!/365)*$M39*Simulation!$C$10)+($E$21*#REF!/365)*$N39*$F39*Simulation!$C$10)</f>
        <v>#REF!</v>
      </c>
    </row>
    <row r="40" spans="1:18" s="25" customFormat="1" ht="15" x14ac:dyDescent="0.25">
      <c r="A40" s="60">
        <v>43313</v>
      </c>
      <c r="B40" s="61">
        <v>43313</v>
      </c>
      <c r="C40" s="62">
        <f>MAX(0,MIN(EOMONTH(B40,0),Simulation!$C$12)-MAX(B40,Simulation!$C$11)+1)</f>
        <v>0</v>
      </c>
      <c r="D40" s="182"/>
      <c r="E40" s="184"/>
      <c r="F40" s="143">
        <v>1</v>
      </c>
      <c r="G40" s="63">
        <f t="shared" si="0"/>
        <v>31</v>
      </c>
      <c r="H40" s="186"/>
      <c r="I40" s="64">
        <f>IF(Simulation!$C$12&gt;=$B$108,IF(AND(YEAR(Simulation!$C$11)=YEAR(A40),MONTH(A40)=MONTH(Simulation!$C$11)),1,0),0)</f>
        <v>0</v>
      </c>
      <c r="J40" s="65">
        <f>IF($H$33=0,0,IF($H$33=1,SUM(I28:I40),IF($H$33=2,SUM(I19:I40),IF($H$33=3,SUM(I14:I40),IF($H$33=4,SUM(I14:I40),"more than 4 years")))))</f>
        <v>0</v>
      </c>
      <c r="K40" s="66" t="str">
        <f t="shared" si="1"/>
        <v>ok</v>
      </c>
      <c r="L40" s="66">
        <f>IF(J40=1,IF(J41=0,IF(DAY(Simulation!$C$11)=1,0,DAY(Simulation!$C$11)-1),0),0)</f>
        <v>0</v>
      </c>
      <c r="M40" s="63">
        <f>IF(AND(J39=1,J40=1,J41=0,DAY(Simulation!$C$11)=1),0,IF(J40=1,IF(L40&lt;&gt;0,L40,C40),0))</f>
        <v>0</v>
      </c>
      <c r="N40" s="67">
        <f t="shared" si="2"/>
        <v>0</v>
      </c>
      <c r="O40" s="68">
        <f>IF($E$33=5,(($B$25*$B$11)/365)*$C40*$E$33*$F40*Simulation!$C$10,((($B$25*$B$11)/365)*$M40*Simulation!$C$10)+(($B$25*$B$11)/365)*$N40*$F40*Simulation!$C$10)</f>
        <v>0</v>
      </c>
      <c r="P40" s="69">
        <f>IF($E$33=5,(($B$26*$B$12)/365)*$C40*$E$33*$F40*Simulation!$C$10,((($B$26*$B$12)/365)*$M40*Simulation!$C$10)+(($B$26*$B$12)/365)*$N40*$F40*Simulation!$C$10)</f>
        <v>0</v>
      </c>
      <c r="Q40" s="107">
        <f>IF($E$33=5,($E$20/365)*$C40*$E$33*$F40*Simulation!$C$10,(($E$20/365)*$M40*Simulation!$C$10)+($E$20/365)*$N40*$F40*Simulation!$C$10)</f>
        <v>0</v>
      </c>
      <c r="R40" s="107" t="e">
        <f>IF($E$33=5,($E$21*#REF!/365)*$C40*$E$33*$F40*Simulation!$C$10,(($E$21*#REF!/365)*$M40*Simulation!$C$10)+($E$21*#REF!/365)*$N40*$F40*Simulation!$C$10)</f>
        <v>#REF!</v>
      </c>
    </row>
    <row r="41" spans="1:18" s="25" customFormat="1" ht="15" x14ac:dyDescent="0.25">
      <c r="A41" s="60">
        <v>43344</v>
      </c>
      <c r="B41" s="61">
        <v>43344</v>
      </c>
      <c r="C41" s="62">
        <f>MAX(0,MIN(EOMONTH(B41,0),Simulation!$C$12)-MAX(B41,Simulation!$C$11)+1)</f>
        <v>0</v>
      </c>
      <c r="D41" s="182"/>
      <c r="E41" s="184"/>
      <c r="F41" s="143">
        <v>1</v>
      </c>
      <c r="G41" s="63">
        <f t="shared" si="0"/>
        <v>30</v>
      </c>
      <c r="H41" s="186"/>
      <c r="I41" s="64">
        <f>IF(Simulation!$C$12&gt;=$B$108,IF(AND(YEAR(Simulation!$C$11)=YEAR(A41),MONTH(A41)=MONTH(Simulation!$C$11)),1,0),0)</f>
        <v>0</v>
      </c>
      <c r="J41" s="65">
        <f>IF($H$33=0,0,IF($H$33=1,SUM(I29:I41),IF($H$33=2,SUM(I20:I41),IF($H$33=3,SUM(I14:I41),IF($H$33=4,SUM(I14:I41),"more than 4 years")))))</f>
        <v>0</v>
      </c>
      <c r="K41" s="66" t="str">
        <f t="shared" si="1"/>
        <v>ok</v>
      </c>
      <c r="L41" s="66">
        <f>IF(J41=1,IF(J42=0,IF(DAY(Simulation!$C$11)=1,0,DAY(Simulation!$C$11)-1),0),0)</f>
        <v>0</v>
      </c>
      <c r="M41" s="63">
        <f>IF(AND(J40=1,J41=1,J42=0,DAY(Simulation!$C$11)=1),0,IF(J41=1,IF(L41&lt;&gt;0,L41,C41),0))</f>
        <v>0</v>
      </c>
      <c r="N41" s="67">
        <f t="shared" si="2"/>
        <v>0</v>
      </c>
      <c r="O41" s="68">
        <f>IF($E$33=5,(($B$25*$B$11)/365)*$C41*$E$33*$F41*Simulation!$C$10,((($B$25*$B$11)/365)*$M41*Simulation!$C$10)+(($B$25*$B$11)/365)*$N41*$F41*Simulation!$C$10)</f>
        <v>0</v>
      </c>
      <c r="P41" s="69">
        <f>IF($E$33=5,(($B$26*$B$12)/365)*$C41*$E$33*$F41*Simulation!$C$10,((($B$26*$B$12)/365)*$M41*Simulation!$C$10)+(($B$26*$B$12)/365)*$N41*$F41*Simulation!$C$10)</f>
        <v>0</v>
      </c>
      <c r="Q41" s="107">
        <f>IF($E$33=5,($E$20/365)*$C41*$E$33*$F41*Simulation!$C$10,(($E$20/365)*$M41*Simulation!$C$10)+($E$20/365)*$N41*$F41*Simulation!$C$10)</f>
        <v>0</v>
      </c>
      <c r="R41" s="107" t="e">
        <f>IF($E$33=5,($E$21*#REF!/365)*$C41*$E$33*$F41*Simulation!$C$10,(($E$21*#REF!/365)*$M41*Simulation!$C$10)+($E$21*#REF!/365)*$N41*$F41*Simulation!$C$10)</f>
        <v>#REF!</v>
      </c>
    </row>
    <row r="42" spans="1:18" s="25" customFormat="1" ht="15" x14ac:dyDescent="0.25">
      <c r="A42" s="60">
        <v>43374</v>
      </c>
      <c r="B42" s="61">
        <v>43374</v>
      </c>
      <c r="C42" s="62">
        <f>MAX(0,MIN(EOMONTH(B42,0),Simulation!$C$12)-MAX(B42,Simulation!$C$11)+1)</f>
        <v>0</v>
      </c>
      <c r="D42" s="182"/>
      <c r="E42" s="184"/>
      <c r="F42" s="143">
        <v>1</v>
      </c>
      <c r="G42" s="63">
        <f t="shared" si="0"/>
        <v>31</v>
      </c>
      <c r="H42" s="186"/>
      <c r="I42" s="64">
        <f>IF(Simulation!$C$12&gt;=$B$108,IF(AND(YEAR(Simulation!$C$11)=YEAR(A42),MONTH(A42)=MONTH(Simulation!$C$11)),1,0),0)</f>
        <v>0</v>
      </c>
      <c r="J42" s="65">
        <f>IF($H$33=0,0,IF($H$33=1,SUM(I30:I42),IF($H$33=2,SUM(I21:I42),IF($H$33=3,SUM(I14:I42),IF($H$33=4,SUM(I14:I42),"more than 4 years")))))</f>
        <v>0</v>
      </c>
      <c r="K42" s="66" t="str">
        <f t="shared" si="1"/>
        <v>ok</v>
      </c>
      <c r="L42" s="66">
        <f>IF(J42=1,IF(J43=0,IF(DAY(Simulation!$C$11)=1,0,DAY(Simulation!$C$11)-1),0),0)</f>
        <v>0</v>
      </c>
      <c r="M42" s="63">
        <f>IF(AND(J41=1,J42=1,J43=0,DAY(Simulation!$C$11)=1),0,IF(J42=1,IF(L42&lt;&gt;0,L42,C42),0))</f>
        <v>0</v>
      </c>
      <c r="N42" s="67">
        <f t="shared" si="2"/>
        <v>0</v>
      </c>
      <c r="O42" s="68">
        <f>IF($E$33=5,(($B$25*$B$11)/365)*$C42*$E$33*$F42*Simulation!$C$10,((($B$25*$B$11)/365)*$M42*Simulation!$C$10)+(($B$25*$B$11)/365)*$N42*$F42*Simulation!$C$10)</f>
        <v>0</v>
      </c>
      <c r="P42" s="69">
        <f>IF($E$33=5,(($B$26*$B$12)/365)*$C42*$E$33*$F42*Simulation!$C$10,((($B$26*$B$12)/365)*$M42*Simulation!$C$10)+(($B$26*$B$12)/365)*$N42*$F42*Simulation!$C$10)</f>
        <v>0</v>
      </c>
      <c r="Q42" s="107">
        <f>IF($E$33=5,($E$20/365)*$C42*$E$33*$F42*Simulation!$C$10,(($E$20/365)*$M42*Simulation!$C$10)+($E$20/365)*$N42*$F42*Simulation!$C$10)</f>
        <v>0</v>
      </c>
      <c r="R42" s="107" t="e">
        <f>IF($E$33=5,($E$21*#REF!/365)*$C42*$E$33*$F42*Simulation!$C$10,(($E$21*#REF!/365)*$M42*Simulation!$C$10)+($E$21*#REF!/365)*$N42*$F42*Simulation!$C$10)</f>
        <v>#REF!</v>
      </c>
    </row>
    <row r="43" spans="1:18" s="25" customFormat="1" ht="15" x14ac:dyDescent="0.25">
      <c r="A43" s="60">
        <v>43405</v>
      </c>
      <c r="B43" s="61">
        <v>43405</v>
      </c>
      <c r="C43" s="62">
        <f>MAX(0,MIN(EOMONTH(B43,0),Simulation!$C$12)-MAX(B43,Simulation!$C$11)+1)</f>
        <v>0</v>
      </c>
      <c r="D43" s="182"/>
      <c r="E43" s="184"/>
      <c r="F43" s="143">
        <v>1</v>
      </c>
      <c r="G43" s="63">
        <f t="shared" si="0"/>
        <v>30</v>
      </c>
      <c r="H43" s="186"/>
      <c r="I43" s="64">
        <f>IF(Simulation!$C$12&gt;=$B$108,IF(AND(YEAR(Simulation!$C$11)=YEAR(A43),MONTH(A43)=MONTH(Simulation!$C$11)),1,0),0)</f>
        <v>0</v>
      </c>
      <c r="J43" s="65">
        <f>IF($H$33=0,0,IF($H$33=1,SUM(I31:I43),IF($H$33=2,SUM(I21:I43),IF($H$33=3,SUM(I14:I43),IF($H$33=4,SUM(I14:I43),"more than 4 years")))))</f>
        <v>0</v>
      </c>
      <c r="K43" s="66" t="str">
        <f t="shared" si="1"/>
        <v>ok</v>
      </c>
      <c r="L43" s="66">
        <f>IF(J43=1,IF(J44=0,IF(DAY(Simulation!$C$11)=1,0,DAY(Simulation!$C$11)-1),0),0)</f>
        <v>0</v>
      </c>
      <c r="M43" s="63">
        <f>IF(AND(J42=1,J43=1,J44=0,DAY(Simulation!$C$11)=1),0,IF(J43=1,IF(L43&lt;&gt;0,L43,C43),0))</f>
        <v>0</v>
      </c>
      <c r="N43" s="67">
        <f t="shared" si="2"/>
        <v>0</v>
      </c>
      <c r="O43" s="68">
        <f>IF($E$33=5,(($B$25*$B$11)/365)*$C43*$E$33*$F43*Simulation!$C$10,((($B$25*$B$11)/365)*$M43*Simulation!$C$10)+(($B$25*$B$11)/365)*$N43*$F43*Simulation!$C$10)</f>
        <v>0</v>
      </c>
      <c r="P43" s="69">
        <f>IF($E$33=5,(($B$26*$B$12)/365)*$C43*$E$33*$F43*Simulation!$C$10,((($B$26*$B$12)/365)*$M43*Simulation!$C$10)+(($B$26*$B$12)/365)*$N43*$F43*Simulation!$C$10)</f>
        <v>0</v>
      </c>
      <c r="Q43" s="107">
        <f>IF($E$33=5,($E$20/365)*$C43*$E$33*$F43*Simulation!$C$10,(($E$20/365)*$M43*Simulation!$C$10)+($E$20/365)*$N43*$F43*Simulation!$C$10)</f>
        <v>0</v>
      </c>
      <c r="R43" s="107" t="e">
        <f>IF($E$33=5,($E$21*#REF!/365)*$C43*$E$33*$F43*Simulation!$C$10,(($E$21*#REF!/365)*$M43*Simulation!$C$10)+($E$21*#REF!/365)*$N43*$F43*Simulation!$C$10)</f>
        <v>#REF!</v>
      </c>
    </row>
    <row r="44" spans="1:18" s="25" customFormat="1" ht="15" x14ac:dyDescent="0.25">
      <c r="A44" s="60">
        <v>43435</v>
      </c>
      <c r="B44" s="61">
        <v>43435</v>
      </c>
      <c r="C44" s="62">
        <f>MAX(0,MIN(EOMONTH(B44,0),Simulation!$C$12)-MAX(B44,Simulation!$C$11)+1)</f>
        <v>0</v>
      </c>
      <c r="D44" s="182"/>
      <c r="E44" s="184"/>
      <c r="F44" s="143">
        <v>1</v>
      </c>
      <c r="G44" s="63">
        <f t="shared" si="0"/>
        <v>31</v>
      </c>
      <c r="H44" s="186"/>
      <c r="I44" s="64">
        <f>IF(Simulation!$C$12&gt;=$B$108,IF(AND(YEAR(Simulation!$C$11)=YEAR(A44),MONTH(A44)=MONTH(Simulation!$C$11)),1,0),0)</f>
        <v>0</v>
      </c>
      <c r="J44" s="65">
        <f>IF($H$33=0,0,IF($H$33=1,SUM(I32:I44),IF($H$33=2,SUM(I22:I44),IF($H$33=3,SUM(I14:I44),IF($H$33=4,SUM(I14:I44),"more than 4 years")))))</f>
        <v>0</v>
      </c>
      <c r="K44" s="66" t="str">
        <f t="shared" si="1"/>
        <v>ok</v>
      </c>
      <c r="L44" s="66">
        <f>IF(J44=1,IF(J45=0,IF(DAY(Simulation!$C$11)=1,0,DAY(Simulation!$C$11)-1),0),0)</f>
        <v>0</v>
      </c>
      <c r="M44" s="63">
        <f>IF(AND(J43=1,J44=1,J45=0,DAY(Simulation!$C$11)=1),0,IF(J44=1,IF(L44&lt;&gt;0,L44,C44),0))</f>
        <v>0</v>
      </c>
      <c r="N44" s="67">
        <f t="shared" si="2"/>
        <v>0</v>
      </c>
      <c r="O44" s="68">
        <f>IF($E$33=5,(($B$25*$B$11)/365)*$C44*$E$33*$F44*Simulation!$C$10,((($B$25*$B$11)/365)*$M44*Simulation!$C$10)+(($B$25*$B$11)/365)*$N44*$F44*Simulation!$C$10)</f>
        <v>0</v>
      </c>
      <c r="P44" s="69">
        <f>IF($E$33=5,(($B$26*$B$12)/365)*$C44*$E$33*$F44*Simulation!$C$10,((($B$26*$B$12)/365)*$M44*Simulation!$C$10)+(($B$26*$B$12)/365)*$N44*$F44*Simulation!$C$10)</f>
        <v>0</v>
      </c>
      <c r="Q44" s="107">
        <f>IF($E$33=5,($E$20/365)*$C44*$E$33*$F44*Simulation!$C$10,(($E$20/365)*$M44*Simulation!$C$10)+($E$20/365)*$N44*$F44*Simulation!$C$10)</f>
        <v>0</v>
      </c>
      <c r="R44" s="107" t="e">
        <f>IF($E$33=5,($E$21*#REF!/365)*$C44*$E$33*$F44*Simulation!$C$10,(($E$21*#REF!/365)*$M44*Simulation!$C$10)+($E$21*#REF!/365)*$N44*$F44*Simulation!$C$10)</f>
        <v>#REF!</v>
      </c>
    </row>
    <row r="45" spans="1:18" s="25" customFormat="1" ht="15" x14ac:dyDescent="0.25">
      <c r="A45" s="60">
        <v>43466</v>
      </c>
      <c r="B45" s="61">
        <v>43466</v>
      </c>
      <c r="C45" s="62">
        <f>MAX(0,MIN(EOMONTH(B45,0),Simulation!$C$12)-MAX(B45,Simulation!$C$11)+1)</f>
        <v>0</v>
      </c>
      <c r="D45" s="182"/>
      <c r="E45" s="184"/>
      <c r="F45" s="143">
        <v>1</v>
      </c>
      <c r="G45" s="63">
        <f t="shared" si="0"/>
        <v>31</v>
      </c>
      <c r="H45" s="186"/>
      <c r="I45" s="64">
        <f>IF(Simulation!$C$12&gt;=$B$108,IF(AND(YEAR(Simulation!$C$11)=YEAR(A45),MONTH(A45)=MONTH(Simulation!$C$11)),1,0),0)</f>
        <v>0</v>
      </c>
      <c r="J45" s="65">
        <f>IF($H$33=0,0,IF($H$33=1,SUM(I33:I45),IF($H$33=2,SUM(I22:I45),IF($H$33=3,SUM(I14:I45),IF($H$33=4,SUM(I14:I45),"more than 4 years")))))</f>
        <v>0</v>
      </c>
      <c r="K45" s="66" t="str">
        <f t="shared" si="1"/>
        <v>ok</v>
      </c>
      <c r="L45" s="66">
        <f>IF(J45=1,IF(J46=0,IF(DAY(Simulation!$C$11)=1,0,DAY(Simulation!$C$11)-1),0),0)</f>
        <v>0</v>
      </c>
      <c r="M45" s="63">
        <f>IF(AND(J44=1,J45=1,J46=0,DAY(Simulation!$C$11)=1),0,IF(J45=1,IF(L45&lt;&gt;0,L45,C45),0))</f>
        <v>0</v>
      </c>
      <c r="N45" s="67">
        <f t="shared" si="2"/>
        <v>0</v>
      </c>
      <c r="O45" s="68">
        <f>IF($E$33=5,(($B$25*$B$11)/365)*$C45*$E$33*$F45*Simulation!$C$10,((($B$25*$B$11)/365)*$M45*Simulation!$C$10)+(($B$25*$B$11)/365)*$N45*$F45*Simulation!$C$10)</f>
        <v>0</v>
      </c>
      <c r="P45" s="69">
        <f>IF($E$33=5,(($B$26*$B$12)/365)*$C45*$E$33*$F45*Simulation!$C$10,((($B$26*$B$12)/365)*$M45*Simulation!$C$10)+(($B$26*$B$12)/365)*$N45*$F45*Simulation!$C$10)</f>
        <v>0</v>
      </c>
      <c r="Q45" s="107">
        <f>IF($E$33=5,($E$20/365)*$C45*$E$33*$F45*Simulation!$C$10,(($E$20/365)*$M45*Simulation!$C$10)+($E$20/365)*$N45*$F45*Simulation!$C$10)</f>
        <v>0</v>
      </c>
      <c r="R45" s="107" t="e">
        <f>IF($E$33=5,($E$21*#REF!/365)*$C45*$E$33*$F45*Simulation!$C$10,(($E$21*#REF!/365)*$M45*Simulation!$C$10)+($E$21*#REF!/365)*$N45*$F45*Simulation!$C$10)</f>
        <v>#REF!</v>
      </c>
    </row>
    <row r="46" spans="1:18" s="25" customFormat="1" ht="15" x14ac:dyDescent="0.25">
      <c r="A46" s="60">
        <v>43497</v>
      </c>
      <c r="B46" s="61">
        <v>43497</v>
      </c>
      <c r="C46" s="62">
        <f>MAX(0,MIN(EOMONTH(B46,0),Simulation!$C$12)-MAX(B46,Simulation!$C$11)+1)</f>
        <v>0</v>
      </c>
      <c r="D46" s="182"/>
      <c r="E46" s="184"/>
      <c r="F46" s="143">
        <v>1</v>
      </c>
      <c r="G46" s="63">
        <f t="shared" si="0"/>
        <v>28</v>
      </c>
      <c r="H46" s="186"/>
      <c r="I46" s="64">
        <f>IF(Simulation!$C$12&gt;=$B$108,IF(AND(YEAR(Simulation!$C$11)=YEAR(A46),MONTH(A46)=MONTH(Simulation!$C$11)),1,0),0)</f>
        <v>0</v>
      </c>
      <c r="J46" s="65">
        <f>IF($H$33=0,0,IF($H$33=1,SUM(I34:I46),IF($H$33=2,SUM(I23:I46),IF($H$33=3,SUM(I15:I46),IF($H$33=4,SUM(I14:I46),"more than 4 years")))))</f>
        <v>0</v>
      </c>
      <c r="K46" s="66" t="str">
        <f t="shared" si="1"/>
        <v>ok</v>
      </c>
      <c r="L46" s="66">
        <f>IF(J46=1,IF(J47=0,IF(DAY(Simulation!$C$11)=1,0,DAY(Simulation!$C$11)-1),0),0)</f>
        <v>0</v>
      </c>
      <c r="M46" s="63">
        <f>IF(AND(J45=1,J46=1,J47=0,DAY(Simulation!$C$11)=1),0,IF(J46=1,IF(L46&lt;&gt;0,L46,C46),0))</f>
        <v>0</v>
      </c>
      <c r="N46" s="67">
        <f t="shared" si="2"/>
        <v>0</v>
      </c>
      <c r="O46" s="68">
        <f>IF($E$33=5,(($B$25*$B$11)/365)*$C46*$E$33*$F46*Simulation!$C$10,((($B$25*$B$11)/365)*$M46*Simulation!$C$10)+(($B$25*$B$11)/365)*$N46*$F46*Simulation!$C$10)</f>
        <v>0</v>
      </c>
      <c r="P46" s="69">
        <f>IF($E$33=5,(($B$26*$B$12)/365)*$C46*$E$33*$F46*Simulation!$C$10,((($B$26*$B$12)/365)*$M46*Simulation!$C$10)+(($B$26*$B$12)/365)*$N46*$F46*Simulation!$C$10)</f>
        <v>0</v>
      </c>
      <c r="Q46" s="107">
        <f>IF($E$33=5,($E$20/365)*$C46*$E$33*$F46*Simulation!$C$10,(($E$20/365)*$M46*Simulation!$C$10)+($E$20/365)*$N46*$F46*Simulation!$C$10)</f>
        <v>0</v>
      </c>
      <c r="R46" s="107" t="e">
        <f>IF($E$33=5,($E$21*#REF!/365)*$C46*$E$33*$F46*Simulation!$C$10,(($E$21*#REF!/365)*$M46*Simulation!$C$10)+($E$21*#REF!/365)*$N46*$F46*Simulation!$C$10)</f>
        <v>#REF!</v>
      </c>
    </row>
    <row r="47" spans="1:18" s="25" customFormat="1" ht="15" x14ac:dyDescent="0.25">
      <c r="A47" s="60">
        <v>43525</v>
      </c>
      <c r="B47" s="61">
        <v>43525</v>
      </c>
      <c r="C47" s="62">
        <f>MAX(0,MIN(EOMONTH(B47,0),Simulation!$C$12)-MAX(B47,Simulation!$C$11)+1)</f>
        <v>0</v>
      </c>
      <c r="D47" s="182"/>
      <c r="E47" s="184"/>
      <c r="F47" s="143">
        <v>1</v>
      </c>
      <c r="G47" s="63">
        <f t="shared" si="0"/>
        <v>31</v>
      </c>
      <c r="H47" s="186"/>
      <c r="I47" s="64">
        <f>IF(Simulation!$C$12&gt;=$B$108,IF(AND(YEAR(Simulation!$C$11)=YEAR(A47),MONTH(A47)=MONTH(Simulation!$C$11)),1,0),0)</f>
        <v>0</v>
      </c>
      <c r="J47" s="65">
        <f>IF($H$33=0,0,IF($H$33=1,SUM(I35:I47),IF($H$33=2,SUM(I24:I47),IF($H$33=3,SUM(I15:I47),IF($H$33=4,SUM(I14:I47),"more than 4 years")))))</f>
        <v>0</v>
      </c>
      <c r="K47" s="66" t="str">
        <f t="shared" si="1"/>
        <v>ok</v>
      </c>
      <c r="L47" s="66">
        <f>IF(J47=1,IF(J48=0,IF(DAY(Simulation!$C$11)=1,0,DAY(Simulation!$C$11)-1),0),0)</f>
        <v>0</v>
      </c>
      <c r="M47" s="63">
        <f>IF(AND(J46=1,J47=1,J48=0,DAY(Simulation!$C$11)=1),0,IF(J47=1,IF(L47&lt;&gt;0,L47,C47),0))</f>
        <v>0</v>
      </c>
      <c r="N47" s="67">
        <f t="shared" si="2"/>
        <v>0</v>
      </c>
      <c r="O47" s="68">
        <f>IF($E$33=5,(($B$25*$B$11)/365)*$C47*$E$33*$F47*Simulation!$C$10,((($B$25*$B$11)/365)*$M47*Simulation!$C$10)+(($B$25*$B$11)/365)*$N47*$F47*Simulation!$C$10)</f>
        <v>0</v>
      </c>
      <c r="P47" s="69">
        <f>IF($E$33=5,(($B$26*$B$12)/365)*$C47*$E$33*$F47*Simulation!$C$10,((($B$26*$B$12)/365)*$M47*Simulation!$C$10)+(($B$26*$B$12)/365)*$N47*$F47*Simulation!$C$10)</f>
        <v>0</v>
      </c>
      <c r="Q47" s="107">
        <f>IF($E$33=5,($E$20/365)*$C47*$E$33*$F47*Simulation!$C$10,(($E$20/365)*$M47*Simulation!$C$10)+($E$20/365)*$N47*$F47*Simulation!$C$10)</f>
        <v>0</v>
      </c>
      <c r="R47" s="107" t="e">
        <f>IF($E$33=5,($E$21*#REF!/365)*$C47*$E$33*$F47*Simulation!$C$10,(($E$21*#REF!/365)*$M47*Simulation!$C$10)+($E$21*#REF!/365)*$N47*$F47*Simulation!$C$10)</f>
        <v>#REF!</v>
      </c>
    </row>
    <row r="48" spans="1:18" s="25" customFormat="1" ht="15" x14ac:dyDescent="0.25">
      <c r="A48" s="60">
        <v>43556</v>
      </c>
      <c r="B48" s="61">
        <v>43556</v>
      </c>
      <c r="C48" s="62">
        <f>MAX(0,MIN(EOMONTH(B48,0),Simulation!$C$12)-MAX(B48,Simulation!$C$11)+1)</f>
        <v>0</v>
      </c>
      <c r="D48" s="182"/>
      <c r="E48" s="184"/>
      <c r="F48" s="143">
        <v>1</v>
      </c>
      <c r="G48" s="63">
        <f t="shared" si="0"/>
        <v>30</v>
      </c>
      <c r="H48" s="186"/>
      <c r="I48" s="64">
        <f>IF(Simulation!$C$12&gt;=$B$108,IF(AND(YEAR(Simulation!$C$11)=YEAR(A48),MONTH(A48)=MONTH(Simulation!$C$11)),1,0),0)</f>
        <v>0</v>
      </c>
      <c r="J48" s="65">
        <f>IF($H$33=0,0,IF($H$33=1,SUM(I36:I48),IF($H$33=2,SUM(I25:I48),IF($H$33=3,SUM(I15:I48),IF($H$33=4,SUM(I14:I48),"more than 4 years")))))</f>
        <v>0</v>
      </c>
      <c r="K48" s="66" t="str">
        <f t="shared" si="1"/>
        <v>ok</v>
      </c>
      <c r="L48" s="66">
        <f>IF(J48=1,IF(J49=0,IF(DAY(Simulation!$C$11)=1,0,DAY(Simulation!$C$11)-1),0),0)</f>
        <v>0</v>
      </c>
      <c r="M48" s="63">
        <f>IF(AND(J47=1,J48=1,J49=0,DAY(Simulation!$C$11)=1),0,IF(J48=1,IF(L48&lt;&gt;0,L48,C48),0))</f>
        <v>0</v>
      </c>
      <c r="N48" s="67">
        <f t="shared" si="2"/>
        <v>0</v>
      </c>
      <c r="O48" s="68">
        <f>IF($E$33=5,(($B$25*$B$11)/365)*$C48*$E$33*$F48*Simulation!$C$10,((($B$25*$B$11)/365)*$M48*Simulation!$C$10)+(($B$25*$B$11)/365)*$N48*$F48*Simulation!$C$10)</f>
        <v>0</v>
      </c>
      <c r="P48" s="69">
        <f>IF($E$33=5,(($B$26*$B$12)/365)*$C48*$E$33*$F48*Simulation!$C$10,((($B$26*$B$12)/365)*$M48*Simulation!$C$10)+(($B$26*$B$12)/365)*$N48*$F48*Simulation!$C$10)</f>
        <v>0</v>
      </c>
      <c r="Q48" s="107">
        <f>IF($E$33=5,($E$20/365)*$C48*$E$33*$F48*Simulation!$C$10,(($E$20/365)*$M48*Simulation!$C$10)+($E$20/365)*$N48*$F48*Simulation!$C$10)</f>
        <v>0</v>
      </c>
      <c r="R48" s="107" t="e">
        <f>IF($E$33=5,($E$21*#REF!/365)*$C48*$E$33*$F48*Simulation!$C$10,(($E$21*#REF!/365)*$M48*Simulation!$C$10)+($E$21*#REF!/365)*$N48*$F48*Simulation!$C$10)</f>
        <v>#REF!</v>
      </c>
    </row>
    <row r="49" spans="1:18" s="25" customFormat="1" ht="15" x14ac:dyDescent="0.25">
      <c r="A49" s="60">
        <v>43586</v>
      </c>
      <c r="B49" s="61">
        <v>43586</v>
      </c>
      <c r="C49" s="62">
        <f>MAX(0,MIN(EOMONTH(B49,0),Simulation!$C$12)-MAX(B49,Simulation!$C$11)+1)</f>
        <v>0</v>
      </c>
      <c r="D49" s="182"/>
      <c r="E49" s="184"/>
      <c r="F49" s="143">
        <v>1</v>
      </c>
      <c r="G49" s="63">
        <f t="shared" si="0"/>
        <v>31</v>
      </c>
      <c r="H49" s="186"/>
      <c r="I49" s="64">
        <f>IF(Simulation!$C$12&gt;=$B$108,IF(AND(YEAR(Simulation!$C$11)=YEAR(A49),MONTH(A49)=MONTH(Simulation!$C$11)),1,0),0)</f>
        <v>0</v>
      </c>
      <c r="J49" s="65">
        <f>IF($H$33=0,0,IF($H$33=1,SUM(I37:I49),IF($H$33=2,SUM(I27:I49),IF($H$33=3,SUM(I16:I49),IF($H$33=4,SUM(I14:I49),"more than 4 years")))))</f>
        <v>0</v>
      </c>
      <c r="K49" s="66" t="str">
        <f t="shared" si="1"/>
        <v>ok</v>
      </c>
      <c r="L49" s="66">
        <f>IF(J49=1,IF(J50=0,IF(DAY(Simulation!$C$11)=1,0,DAY(Simulation!$C$11)-1),0),0)</f>
        <v>0</v>
      </c>
      <c r="M49" s="63">
        <f>IF(AND(J48=1,J49=1,J50=0,DAY(Simulation!$C$11)=1),0,IF(J49=1,IF(L49&lt;&gt;0,L49,C49),0))</f>
        <v>0</v>
      </c>
      <c r="N49" s="67">
        <f t="shared" si="2"/>
        <v>0</v>
      </c>
      <c r="O49" s="68">
        <f>IF($E$33=5,(($B$25*$B$11)/365)*$C49*$E$33*$F49*Simulation!$C$10,((($B$25*$B$11)/365)*$M49*Simulation!$C$10)+(($B$25*$B$11)/365)*$N49*$F49*Simulation!$C$10)</f>
        <v>0</v>
      </c>
      <c r="P49" s="69">
        <f>IF($E$33=5,(($B$26*$B$12)/365)*$C49*$E$33*$F49*Simulation!$C$10,((($B$26*$B$12)/365)*$M49*Simulation!$C$10)+(($B$26*$B$12)/365)*$N49*$F49*Simulation!$C$10)</f>
        <v>0</v>
      </c>
      <c r="Q49" s="107">
        <f>IF($E$33=5,($E$20/365)*$C49*$E$33*$F49*Simulation!$C$10,(($E$20/365)*$M49*Simulation!$C$10)+($E$20/365)*$N49*$F49*Simulation!$C$10)</f>
        <v>0</v>
      </c>
      <c r="R49" s="107" t="e">
        <f>IF($E$33=5,($E$21*#REF!/365)*$C49*$E$33*$F49*Simulation!$C$10,(($E$21*#REF!/365)*$M49*Simulation!$C$10)+($E$21*#REF!/365)*$N49*$F49*Simulation!$C$10)</f>
        <v>#REF!</v>
      </c>
    </row>
    <row r="50" spans="1:18" s="25" customFormat="1" ht="15" x14ac:dyDescent="0.25">
      <c r="A50" s="60">
        <v>43617</v>
      </c>
      <c r="B50" s="61">
        <v>43617</v>
      </c>
      <c r="C50" s="62">
        <f>MAX(0,MIN(EOMONTH(B50,0),Simulation!$C$12)-MAX(B50,Simulation!$C$11)+1)</f>
        <v>0</v>
      </c>
      <c r="D50" s="182"/>
      <c r="E50" s="184"/>
      <c r="F50" s="143">
        <v>1</v>
      </c>
      <c r="G50" s="63">
        <f t="shared" si="0"/>
        <v>30</v>
      </c>
      <c r="H50" s="186"/>
      <c r="I50" s="64">
        <f>IF(Simulation!$C$12&gt;=$B$108,IF(AND(YEAR(Simulation!$C$11)=YEAR(A50),MONTH(A50)=MONTH(Simulation!$C$11)),1,0),0)</f>
        <v>0</v>
      </c>
      <c r="J50" s="65">
        <f>IF($H$33=0,0,IF($H$33=1,SUM(I38:I50),IF($H$33=2,SUM(I27:I50),IF($H$33=3,SUM(I17:I50),IF($H$33=4,SUM(I14:I50),"more than 4 years")))))</f>
        <v>0</v>
      </c>
      <c r="K50" s="66" t="str">
        <f t="shared" si="1"/>
        <v>ok</v>
      </c>
      <c r="L50" s="66">
        <f>IF(J50=1,IF(J51=0,IF(DAY(Simulation!$C$11)=1,0,DAY(Simulation!$C$11)-1),0),0)</f>
        <v>0</v>
      </c>
      <c r="M50" s="63">
        <f>IF(AND(J49=1,J50=1,J51=0,DAY(Simulation!$C$11)=1),0,IF(J50=1,IF(L50&lt;&gt;0,L50,C50),0))</f>
        <v>0</v>
      </c>
      <c r="N50" s="67">
        <f t="shared" si="2"/>
        <v>0</v>
      </c>
      <c r="O50" s="68">
        <f>IF($E$33=5,(($B$25*$B$11)/365)*$C50*$E$33*$F50*Simulation!$C$10,((($B$25*$B$11)/365)*$M50*Simulation!$C$10)+(($B$25*$B$11)/365)*$N50*$F50*Simulation!$C$10)</f>
        <v>0</v>
      </c>
      <c r="P50" s="69">
        <f>IF($E$33=5,(($B$26*$B$12)/365)*$C50*$E$33*$F50*Simulation!$C$10,((($B$26*$B$12)/365)*$M50*Simulation!$C$10)+(($B$26*$B$12)/365)*$N50*$F50*Simulation!$C$10)</f>
        <v>0</v>
      </c>
      <c r="Q50" s="107">
        <f>IF($E$33=5,($E$20/365)*$C50*$E$33*$F50*Simulation!$C$10,(($E$20/365)*$M50*Simulation!$C$10)+($E$20/365)*$N50*$F50*Simulation!$C$10)</f>
        <v>0</v>
      </c>
      <c r="R50" s="107" t="e">
        <f>IF($E$33=5,($E$21*#REF!/365)*$C50*$E$33*$F50*Simulation!$C$10,(($E$21*#REF!/365)*$M50*Simulation!$C$10)+($E$21*#REF!/365)*$N50*$F50*Simulation!$C$10)</f>
        <v>#REF!</v>
      </c>
    </row>
    <row r="51" spans="1:18" s="25" customFormat="1" ht="15" x14ac:dyDescent="0.25">
      <c r="A51" s="60">
        <v>43647</v>
      </c>
      <c r="B51" s="61">
        <v>43647</v>
      </c>
      <c r="C51" s="62">
        <f>MAX(0,MIN(EOMONTH(B51,0),Simulation!$C$12)-MAX(B51,Simulation!$C$11)+1)</f>
        <v>0</v>
      </c>
      <c r="D51" s="182"/>
      <c r="E51" s="184"/>
      <c r="F51" s="143">
        <v>1</v>
      </c>
      <c r="G51" s="63">
        <f t="shared" si="0"/>
        <v>31</v>
      </c>
      <c r="H51" s="186"/>
      <c r="I51" s="64">
        <f>IF(Simulation!$C$12&gt;=$B$108,IF(AND(YEAR(Simulation!$C$11)=YEAR(A51),MONTH(A51)=MONTH(Simulation!$C$11)),1,0),0)</f>
        <v>0</v>
      </c>
      <c r="J51" s="65">
        <f>IF($H$33=0,0,IF($H$33=1,SUM(I39:I51),IF($H$33=2,SUM(I27:I51),IF($H$33=3,SUM(I18:I51),IF($H$33=4,SUM(I14:I51),"more than 4 years")))))</f>
        <v>0</v>
      </c>
      <c r="K51" s="66" t="str">
        <f t="shared" si="1"/>
        <v>ok</v>
      </c>
      <c r="L51" s="66">
        <f>IF(J51=1,IF(J52=0,IF(DAY(Simulation!$C$11)=1,0,DAY(Simulation!$C$11)-1),0),0)</f>
        <v>0</v>
      </c>
      <c r="M51" s="63">
        <f>IF(AND(J50=1,J51=1,J52=0,DAY(Simulation!$C$11)=1),0,IF(J51=1,IF(L51&lt;&gt;0,L51,C51),0))</f>
        <v>0</v>
      </c>
      <c r="N51" s="67">
        <f t="shared" si="2"/>
        <v>0</v>
      </c>
      <c r="O51" s="68">
        <f>IF($E$33=5,(($B$25*$B$11)/365)*$C51*$E$33*$F51*Simulation!$C$10,((($B$25*$B$11)/365)*$M51*Simulation!$C$10)+(($B$25*$B$11)/365)*$N51*$F51*Simulation!$C$10)</f>
        <v>0</v>
      </c>
      <c r="P51" s="69">
        <f>IF($E$33=5,(($B$26*$B$12)/365)*$C51*$E$33*$F51*Simulation!$C$10,((($B$26*$B$12)/365)*$M51*Simulation!$C$10)+(($B$26*$B$12)/365)*$N51*$F51*Simulation!$C$10)</f>
        <v>0</v>
      </c>
      <c r="Q51" s="107">
        <f>IF($E$33=5,($E$20/365)*$C51*$E$33*$F51*Simulation!$C$10,(($E$20/365)*$M51*Simulation!$C$10)+($E$20/365)*$N51*$F51*Simulation!$C$10)</f>
        <v>0</v>
      </c>
      <c r="R51" s="107" t="e">
        <f>IF($E$33=5,($E$21*#REF!/365)*$C51*$E$33*$F51*Simulation!$C$10,(($E$21*#REF!/365)*$M51*Simulation!$C$10)+($E$21*#REF!/365)*$N51*$F51*Simulation!$C$10)</f>
        <v>#REF!</v>
      </c>
    </row>
    <row r="52" spans="1:18" s="25" customFormat="1" ht="15" x14ac:dyDescent="0.25">
      <c r="A52" s="60">
        <v>43678</v>
      </c>
      <c r="B52" s="61">
        <v>43678</v>
      </c>
      <c r="C52" s="62">
        <f>MAX(0,MIN(EOMONTH(B52,0),Simulation!$C$12)-MAX(B52,Simulation!$C$11)+1)</f>
        <v>0</v>
      </c>
      <c r="D52" s="182"/>
      <c r="E52" s="184"/>
      <c r="F52" s="143">
        <v>1</v>
      </c>
      <c r="G52" s="63">
        <f t="shared" si="0"/>
        <v>31</v>
      </c>
      <c r="H52" s="186"/>
      <c r="I52" s="64">
        <f>IF(Simulation!$C$12&gt;=$B$108,IF(AND(YEAR(Simulation!$C$11)=YEAR(A52),MONTH(A52)=MONTH(Simulation!$C$11)),1,0),0)</f>
        <v>0</v>
      </c>
      <c r="J52" s="65">
        <f>IF($H$33=0,0,IF($H$33=1,SUM(I40:I52),IF($H$33=2,SUM(I28:I52),IF($H$33=3,SUM(I19:I52),IF($H$33=4,SUM(I14:I52),"more than 4 years")))))</f>
        <v>0</v>
      </c>
      <c r="K52" s="66" t="str">
        <f t="shared" si="1"/>
        <v>ok</v>
      </c>
      <c r="L52" s="66">
        <f>IF(J52=1,IF(J53=0,IF(DAY(Simulation!$C$11)=1,0,DAY(Simulation!$C$11)-1),0),0)</f>
        <v>0</v>
      </c>
      <c r="M52" s="63">
        <f>IF(AND(J51=1,J52=1,J53=0,DAY(Simulation!$C$11)=1),0,IF(J52=1,IF(L52&lt;&gt;0,L52,C52),0))</f>
        <v>0</v>
      </c>
      <c r="N52" s="67">
        <f t="shared" si="2"/>
        <v>0</v>
      </c>
      <c r="O52" s="68">
        <f>IF($E$33=5,(($B$25*$B$11)/365)*$C52*$E$33*$F52*Simulation!$C$10,((($B$25*$B$11)/365)*$M52*Simulation!$C$10)+(($B$25*$B$11)/365)*$N52*$F52*Simulation!$C$10)</f>
        <v>0</v>
      </c>
      <c r="P52" s="69">
        <f>IF($E$33=5,(($B$26*$B$12)/365)*$C52*$E$33*$F52*Simulation!$C$10,((($B$26*$B$12)/365)*$M52*Simulation!$C$10)+(($B$26*$B$12)/365)*$N52*$F52*Simulation!$C$10)</f>
        <v>0</v>
      </c>
      <c r="Q52" s="107">
        <f>IF($E$33=5,($E$20/365)*$C52*$E$33*$F52*Simulation!$C$10,(($E$20/365)*$M52*Simulation!$C$10)+($E$20/365)*$N52*$F52*Simulation!$C$10)</f>
        <v>0</v>
      </c>
      <c r="R52" s="107" t="e">
        <f>IF($E$33=5,($E$21*#REF!/365)*$C52*$E$33*$F52*Simulation!$C$10,(($E$21*#REF!/365)*$M52*Simulation!$C$10)+($E$21*#REF!/365)*$N52*$F52*Simulation!$C$10)</f>
        <v>#REF!</v>
      </c>
    </row>
    <row r="53" spans="1:18" s="25" customFormat="1" ht="15" x14ac:dyDescent="0.25">
      <c r="A53" s="60">
        <v>43709</v>
      </c>
      <c r="B53" s="61">
        <v>43709</v>
      </c>
      <c r="C53" s="62">
        <f>MAX(0,MIN(EOMONTH(B53,0),Simulation!$C$12)-MAX(B53,Simulation!$C$11)+1)</f>
        <v>0</v>
      </c>
      <c r="D53" s="182"/>
      <c r="E53" s="184"/>
      <c r="F53" s="143">
        <v>1</v>
      </c>
      <c r="G53" s="63">
        <f t="shared" si="0"/>
        <v>30</v>
      </c>
      <c r="H53" s="186"/>
      <c r="I53" s="64">
        <f>IF(Simulation!$C$12&gt;=$B$108,IF(AND(YEAR(Simulation!$C$11)=YEAR(A53),MONTH(A53)=MONTH(Simulation!$C$11)),1,0),0)</f>
        <v>0</v>
      </c>
      <c r="J53" s="65">
        <f>IF($H$33=0,0,IF($H$33=1,SUM(I41:I53),IF($H$33=2,SUM(I29:I53),IF($H$33=3,SUM(I20:I53),IF($H$33=4,SUM(I14:I53),"more than 4 years")))))</f>
        <v>0</v>
      </c>
      <c r="K53" s="66" t="str">
        <f t="shared" si="1"/>
        <v>ok</v>
      </c>
      <c r="L53" s="66">
        <f>IF(J53=1,IF(J54=0,IF(DAY(Simulation!$C$11)=1,0,DAY(Simulation!$C$11)-1),0),0)</f>
        <v>0</v>
      </c>
      <c r="M53" s="63">
        <f>IF(AND(J52=1,J53=1,J54=0,DAY(Simulation!$C$11)=1),0,IF(J53=1,IF(L53&lt;&gt;0,L53,C53),0))</f>
        <v>0</v>
      </c>
      <c r="N53" s="67">
        <f t="shared" si="2"/>
        <v>0</v>
      </c>
      <c r="O53" s="68">
        <f>IF($E$33=5,(($B$25*$B$11)/365)*$C53*$E$33*$F53*Simulation!$C$10,((($B$25*$B$11)/365)*$M53*Simulation!$C$10)+(($B$25*$B$11)/365)*$N53*$F53*Simulation!$C$10)</f>
        <v>0</v>
      </c>
      <c r="P53" s="69">
        <f>IF($E$33=5,(($B$26*$B$12)/365)*$C53*$E$33*$F53*Simulation!$C$10,((($B$26*$B$12)/365)*$M53*Simulation!$C$10)+(($B$26*$B$12)/365)*$N53*$F53*Simulation!$C$10)</f>
        <v>0</v>
      </c>
      <c r="Q53" s="107">
        <f>IF($E$33=5,($E$20/365)*$C53*$E$33*$F53*Simulation!$C$10,(($E$20/365)*$M53*Simulation!$C$10)+($E$20/365)*$N53*$F53*Simulation!$C$10)</f>
        <v>0</v>
      </c>
      <c r="R53" s="107" t="e">
        <f>IF($E$33=5,($E$21*#REF!/365)*$C53*$E$33*$F53*Simulation!$C$10,(($E$21*#REF!/365)*$M53*Simulation!$C$10)+($E$21*#REF!/365)*$N53*$F53*Simulation!$C$10)</f>
        <v>#REF!</v>
      </c>
    </row>
    <row r="54" spans="1:18" s="25" customFormat="1" ht="15" x14ac:dyDescent="0.25">
      <c r="A54" s="60">
        <v>43739</v>
      </c>
      <c r="B54" s="61">
        <v>43739</v>
      </c>
      <c r="C54" s="62">
        <f>MAX(0,MIN(EOMONTH(B54,0),Simulation!$C$12)-MAX(B54,Simulation!$C$11)+1)</f>
        <v>0</v>
      </c>
      <c r="D54" s="182"/>
      <c r="E54" s="184"/>
      <c r="F54" s="143">
        <v>1</v>
      </c>
      <c r="G54" s="63">
        <f t="shared" si="0"/>
        <v>31</v>
      </c>
      <c r="H54" s="186"/>
      <c r="I54" s="64">
        <f>IF(Simulation!$C$12&gt;=$B$108,IF(AND(YEAR(Simulation!$C$11)=YEAR(A54),MONTH(A54)=MONTH(Simulation!$C$11)),1,0),0)</f>
        <v>0</v>
      </c>
      <c r="J54" s="65">
        <f>IF($H$33=0,0,IF($H$33=1,SUM(I42:I54),IF($H$33=2,SUM(I30:I54),IF($H$33=3,SUM(I21:I54),IF($H$33=4,SUM(I14:I54),"more than 4 years")))))</f>
        <v>0</v>
      </c>
      <c r="K54" s="66" t="str">
        <f t="shared" si="1"/>
        <v>ok</v>
      </c>
      <c r="L54" s="66">
        <f>IF(J54=1,IF(J55=0,IF(DAY(Simulation!$C$11)=1,0,DAY(Simulation!$C$11)-1),0),0)</f>
        <v>0</v>
      </c>
      <c r="M54" s="63">
        <f>IF(AND(J53=1,J54=1,J55=0,DAY(Simulation!$C$11)=1),0,IF(J54=1,IF(L54&lt;&gt;0,L54,C54),0))</f>
        <v>0</v>
      </c>
      <c r="N54" s="67">
        <f t="shared" si="2"/>
        <v>0</v>
      </c>
      <c r="O54" s="68">
        <f>IF($E$33=5,(($B$25*$B$11)/365)*$C54*$E$33*$F54*Simulation!$C$10,((($B$25*$B$11)/365)*$M54*Simulation!$C$10)+(($B$25*$B$11)/365)*$N54*$F54*Simulation!$C$10)</f>
        <v>0</v>
      </c>
      <c r="P54" s="69">
        <f>IF($E$33=5,(($B$26*$B$12)/365)*$C54*$E$33*$F54*Simulation!$C$10,((($B$26*$B$12)/365)*$M54*Simulation!$C$10)+(($B$26*$B$12)/365)*$N54*$F54*Simulation!$C$10)</f>
        <v>0</v>
      </c>
      <c r="Q54" s="107">
        <f>IF($E$33=5,($E$20/365)*$C54*$E$33*$F54*Simulation!$C$10,(($E$20/365)*$M54*Simulation!$C$10)+($E$20/365)*$N54*$F54*Simulation!$C$10)</f>
        <v>0</v>
      </c>
      <c r="R54" s="107" t="e">
        <f>IF($E$33=5,($E$21*#REF!/365)*$C54*$E$33*$F54*Simulation!$C$10,(($E$21*#REF!/365)*$M54*Simulation!$C$10)+($E$21*#REF!/365)*$N54*$F54*Simulation!$C$10)</f>
        <v>#REF!</v>
      </c>
    </row>
    <row r="55" spans="1:18" s="25" customFormat="1" ht="15" x14ac:dyDescent="0.25">
      <c r="A55" s="60">
        <v>43770</v>
      </c>
      <c r="B55" s="61">
        <v>43770</v>
      </c>
      <c r="C55" s="62">
        <f>MAX(0,MIN(EOMONTH(B55,0),Simulation!$C$12)-MAX(B55,Simulation!$C$11)+1)</f>
        <v>0</v>
      </c>
      <c r="D55" s="182"/>
      <c r="E55" s="184"/>
      <c r="F55" s="143">
        <v>1</v>
      </c>
      <c r="G55" s="63">
        <f t="shared" si="0"/>
        <v>30</v>
      </c>
      <c r="H55" s="186"/>
      <c r="I55" s="64">
        <f>IF(Simulation!$C$12&gt;=$B$108,IF(AND(YEAR(Simulation!$C$11)=YEAR(A55),MONTH(A55)=MONTH(Simulation!$C$11)),1,0),0)</f>
        <v>0</v>
      </c>
      <c r="J55" s="65">
        <f>IF($H$33=0,0,IF($H$33=1,SUM(I43:I55),IF($H$33=2,SUM(I31:I55),IF($H$33=3,SUM(I21:I55),IF($H$33=4,SUM(I14:I55),"more than 4 years")))))</f>
        <v>0</v>
      </c>
      <c r="K55" s="66" t="str">
        <f t="shared" si="1"/>
        <v>ok</v>
      </c>
      <c r="L55" s="66">
        <f>IF(J55=1,IF(J56=0,IF(DAY(Simulation!$C$11)=1,0,DAY(Simulation!$C$11)-1),0),0)</f>
        <v>0</v>
      </c>
      <c r="M55" s="63">
        <f>IF(AND(J54=1,J55=1,J56=0,DAY(Simulation!$C$11)=1),0,IF(J55=1,IF(L55&lt;&gt;0,L55,C55),0))</f>
        <v>0</v>
      </c>
      <c r="N55" s="67">
        <f t="shared" si="2"/>
        <v>0</v>
      </c>
      <c r="O55" s="68">
        <f>IF($E$33=5,(($B$25*$B$11)/365)*$C55*$E$33*$F55*Simulation!$C$10,((($B$25*$B$11)/365)*$M55*Simulation!$C$10)+(($B$25*$B$11)/365)*$N55*$F55*Simulation!$C$10)</f>
        <v>0</v>
      </c>
      <c r="P55" s="69">
        <f>IF($E$33=5,(($B$26*$B$12)/365)*$C55*$E$33*$F55*Simulation!$C$10,((($B$26*$B$12)/365)*$M55*Simulation!$C$10)+(($B$26*$B$12)/365)*$N55*$F55*Simulation!$C$10)</f>
        <v>0</v>
      </c>
      <c r="Q55" s="107">
        <f>IF($E$33=5,($E$20/365)*$C55*$E$33*$F55*Simulation!$C$10,(($E$20/365)*$M55*Simulation!$C$10)+($E$20/365)*$N55*$F55*Simulation!$C$10)</f>
        <v>0</v>
      </c>
      <c r="R55" s="107" t="e">
        <f>IF($E$33=5,($E$21*#REF!/365)*$C55*$E$33*$F55*Simulation!$C$10,(($E$21*#REF!/365)*$M55*Simulation!$C$10)+($E$21*#REF!/365)*$N55*$F55*Simulation!$C$10)</f>
        <v>#REF!</v>
      </c>
    </row>
    <row r="56" spans="1:18" s="25" customFormat="1" ht="15" x14ac:dyDescent="0.25">
      <c r="A56" s="60">
        <v>43800</v>
      </c>
      <c r="B56" s="61">
        <v>43800</v>
      </c>
      <c r="C56" s="62">
        <f>MAX(0,MIN(EOMONTH(B56,0),Simulation!$C$12)-MAX(B56,Simulation!$C$11)+1)</f>
        <v>0</v>
      </c>
      <c r="D56" s="182"/>
      <c r="E56" s="184"/>
      <c r="F56" s="143">
        <v>1</v>
      </c>
      <c r="G56" s="63">
        <f t="shared" si="0"/>
        <v>31</v>
      </c>
      <c r="H56" s="186"/>
      <c r="I56" s="64">
        <f>IF(Simulation!$C$12&gt;=$B$108,IF(AND(YEAR(Simulation!$C$11)=YEAR(A56),MONTH(A56)=MONTH(Simulation!$C$11)),1,0),0)</f>
        <v>0</v>
      </c>
      <c r="J56" s="65">
        <f>IF($H$33=0,0,IF($H$33=1,SUM(I44:I56),IF($H$33=2,SUM(I32:I56),IF($H$33=3,SUM(I22:I56),IF($H$33=4,SUM(I14:I56),"more than 4 years")))))</f>
        <v>0</v>
      </c>
      <c r="K56" s="66" t="str">
        <f t="shared" si="1"/>
        <v>ok</v>
      </c>
      <c r="L56" s="66">
        <f>IF(J56=1,IF(J57=0,IF(DAY(Simulation!$C$11)=1,0,DAY(Simulation!$C$11)-1),0),0)</f>
        <v>0</v>
      </c>
      <c r="M56" s="63">
        <f>IF(AND(J55=1,J56=1,J57=0,DAY(Simulation!$C$11)=1),0,IF(J56=1,IF(L56&lt;&gt;0,L56,C56),0))</f>
        <v>0</v>
      </c>
      <c r="N56" s="67">
        <f t="shared" si="2"/>
        <v>0</v>
      </c>
      <c r="O56" s="68">
        <f>IF($E$33=5,(($B$25*$B$11)/365)*$C56*$E$33*$F56*Simulation!$C$10,((($B$25*$B$11)/365)*$M56*Simulation!$C$10)+(($B$25*$B$11)/365)*$N56*$F56*Simulation!$C$10)</f>
        <v>0</v>
      </c>
      <c r="P56" s="69">
        <f>IF($E$33=5,(($B$26*$B$12)/365)*$C56*$E$33*$F56*Simulation!$C$10,((($B$26*$B$12)/365)*$M56*Simulation!$C$10)+(($B$26*$B$12)/365)*$N56*$F56*Simulation!$C$10)</f>
        <v>0</v>
      </c>
      <c r="Q56" s="107">
        <f>IF($E$33=5,($E$20/365)*$C56*$E$33*$F56*Simulation!$C$10,(($E$20/365)*$M56*Simulation!$C$10)+($E$20/365)*$N56*$F56*Simulation!$C$10)</f>
        <v>0</v>
      </c>
      <c r="R56" s="107" t="e">
        <f>IF($E$33=5,($E$21*#REF!/365)*$C56*$E$33*$F56*Simulation!$C$10,(($E$21*#REF!/365)*$M56*Simulation!$C$10)+($E$21*#REF!/365)*$N56*$F56*Simulation!$C$10)</f>
        <v>#REF!</v>
      </c>
    </row>
    <row r="57" spans="1:18" s="25" customFormat="1" ht="15" x14ac:dyDescent="0.25">
      <c r="A57" s="60">
        <v>43831</v>
      </c>
      <c r="B57" s="61">
        <v>43831</v>
      </c>
      <c r="C57" s="62">
        <f>MAX(0,MIN(EOMONTH(B57,0),Simulation!$C$12)-MAX(B57,Simulation!$C$11)+1)</f>
        <v>0</v>
      </c>
      <c r="D57" s="182"/>
      <c r="E57" s="184"/>
      <c r="F57" s="143">
        <v>1</v>
      </c>
      <c r="G57" s="63">
        <f t="shared" si="0"/>
        <v>31</v>
      </c>
      <c r="H57" s="186"/>
      <c r="I57" s="64">
        <f>IF(Simulation!$C$12&gt;=$B$108,IF(AND(YEAR(Simulation!$C$11)=YEAR(A57),MONTH(A57)=MONTH(Simulation!$C$11)),1,0),0)</f>
        <v>0</v>
      </c>
      <c r="J57" s="65">
        <f>IF($H$33=0,0,IF($H$33=1,SUM(I45:I57),IF($H$33=2,SUM(I33:I57),IF($H$33=3,SUM(I22:I57),IF($H$33=4,SUM(I14:I57),"more than 4 years")))))</f>
        <v>0</v>
      </c>
      <c r="K57" s="66" t="str">
        <f t="shared" si="1"/>
        <v>ok</v>
      </c>
      <c r="L57" s="66">
        <f>IF(J57=1,IF(J58=0,IF(DAY(Simulation!$C$11)=1,0,DAY(Simulation!$C$11)-1),0),0)</f>
        <v>0</v>
      </c>
      <c r="M57" s="63">
        <f>IF(AND(J56=1,J57=1,J58=0,DAY(Simulation!$C$11)=1),0,IF(J57=1,IF(L57&lt;&gt;0,L57,C57),0))</f>
        <v>0</v>
      </c>
      <c r="N57" s="67">
        <f t="shared" si="2"/>
        <v>0</v>
      </c>
      <c r="O57" s="68">
        <f>IF($E$33=5,(($B$25*$B$11)/365)*$C57*$E$33*$F57*Simulation!$C$10,((($B$25*$B$11)/365)*$M57*Simulation!$C$10)+(($B$25*$B$11)/365)*$N57*$F57*Simulation!$C$10)</f>
        <v>0</v>
      </c>
      <c r="P57" s="69">
        <f>IF($E$33=5,(($B$26*$B$12)/365)*$C57*$E$33*$F57*Simulation!$C$10,((($B$26*$B$12)/365)*$M57*Simulation!$C$10)+(($B$26*$B$12)/365)*$N57*$F57*Simulation!$C$10)</f>
        <v>0</v>
      </c>
      <c r="Q57" s="107">
        <f>IF($E$33=5,($E$20/365)*$C57*$E$33*$F57*Simulation!$C$10,(($E$20/365)*$M57*Simulation!$C$10)+($E$20/365)*$N57*$F57*Simulation!$C$10)</f>
        <v>0</v>
      </c>
      <c r="R57" s="107" t="e">
        <f>IF($E$33=5,($E$21*#REF!/365)*$C57*$E$33*$F57*Simulation!$C$10,(($E$21*#REF!/365)*$M57*Simulation!$C$10)+($E$21*#REF!/365)*$N57*$F57*Simulation!$C$10)</f>
        <v>#REF!</v>
      </c>
    </row>
    <row r="58" spans="1:18" s="25" customFormat="1" ht="15" x14ac:dyDescent="0.25">
      <c r="A58" s="60">
        <v>43862</v>
      </c>
      <c r="B58" s="61">
        <v>43862</v>
      </c>
      <c r="C58" s="62">
        <f>MAX(0,MIN(EOMONTH(B58,0),Simulation!$C$12)-MAX(B58,Simulation!$C$11)+1)</f>
        <v>0</v>
      </c>
      <c r="D58" s="182"/>
      <c r="E58" s="184"/>
      <c r="F58" s="143">
        <v>1</v>
      </c>
      <c r="G58" s="63">
        <f t="shared" si="0"/>
        <v>29</v>
      </c>
      <c r="H58" s="186"/>
      <c r="I58" s="64">
        <f>IF(Simulation!$C$12&gt;=$B$108,IF(AND(YEAR(Simulation!$C$11)=YEAR(A58),MONTH(A58)=MONTH(Simulation!$C$11)),1,0),0)</f>
        <v>0</v>
      </c>
      <c r="J58" s="65">
        <f>IF($H$33=0,0,IF($H$33=1,SUM(I46:I58),IF($H$33=2,SUM(I34:I58),IF($H$33=3,SUM(I23:I58),IF($H$33=4,SUM(I15:I58),"more than 4 years")))))</f>
        <v>0</v>
      </c>
      <c r="K58" s="66" t="str">
        <f t="shared" si="1"/>
        <v>ok</v>
      </c>
      <c r="L58" s="66">
        <f>IF(J58=1,IF(J59=0,IF(DAY(Simulation!$C$11)=1,0,DAY(Simulation!$C$11)-1),0),0)</f>
        <v>0</v>
      </c>
      <c r="M58" s="63">
        <f>IF(AND(J57=1,J58=1,J59=0,DAY(Simulation!$C$11)=1),0,IF(J58=1,IF(L58&lt;&gt;0,L58,C58),0))</f>
        <v>0</v>
      </c>
      <c r="N58" s="67">
        <f t="shared" si="2"/>
        <v>0</v>
      </c>
      <c r="O58" s="68">
        <f>IF($E$33=5,(($B$25*$B$11)/365)*$C58*$E$33*$F58*Simulation!$C$10,((($B$25*$B$11)/365)*$M58*Simulation!$C$10)+(($B$25*$B$11)/365)*$N58*$F58*Simulation!$C$10)</f>
        <v>0</v>
      </c>
      <c r="P58" s="69">
        <f>IF($E$33=5,(($B$26*$B$12)/365)*$C58*$E$33*$F58*Simulation!$C$10,((($B$26*$B$12)/365)*$M58*Simulation!$C$10)+(($B$26*$B$12)/365)*$N58*$F58*Simulation!$C$10)</f>
        <v>0</v>
      </c>
      <c r="Q58" s="107">
        <f>IF($E$33=5,($E$20/365)*$C58*$E$33*$F58*Simulation!$C$10,(($E$20/365)*$M58*Simulation!$C$10)+($E$20/365)*$N58*$F58*Simulation!$C$10)</f>
        <v>0</v>
      </c>
      <c r="R58" s="107" t="e">
        <f>IF($E$33=5,($E$21*#REF!/365)*$C58*$E$33*$F58*Simulation!$C$10,(($E$21*#REF!/365)*$M58*Simulation!$C$10)+($E$21*#REF!/365)*$N58*$F58*Simulation!$C$10)</f>
        <v>#REF!</v>
      </c>
    </row>
    <row r="59" spans="1:18" s="25" customFormat="1" ht="15" x14ac:dyDescent="0.25">
      <c r="A59" s="60">
        <v>43891</v>
      </c>
      <c r="B59" s="61">
        <v>43891</v>
      </c>
      <c r="C59" s="62">
        <f>MAX(0,MIN(EOMONTH(B59,0),Simulation!$C$12)-MAX(B59,Simulation!$C$11)+1)</f>
        <v>1</v>
      </c>
      <c r="D59" s="182"/>
      <c r="E59" s="184"/>
      <c r="F59" s="143">
        <v>1</v>
      </c>
      <c r="G59" s="63">
        <f t="shared" si="0"/>
        <v>31</v>
      </c>
      <c r="H59" s="186"/>
      <c r="I59" s="64">
        <f>IF(Simulation!$C$12&gt;=$B$108,IF(AND(YEAR(Simulation!$C$11)=YEAR(A59),MONTH(A59)=MONTH(Simulation!$C$11)),1,0),0)</f>
        <v>0</v>
      </c>
      <c r="J59" s="65">
        <f>IF($H$33=0,0,IF($H$33=1,SUM(I47:I59),IF($H$33=2,SUM(I35:I59),IF($H$33=3,SUM(I24:I59),IF($H$33=4,SUM(I15:I59),"more than 4 years")))))</f>
        <v>0</v>
      </c>
      <c r="K59" s="66" t="str">
        <f t="shared" si="1"/>
        <v>ok</v>
      </c>
      <c r="L59" s="66">
        <f>IF(J59=1,IF(J60=0,IF(DAY(Simulation!$C$11)=1,0,DAY(Simulation!$C$11)-1),0),0)</f>
        <v>0</v>
      </c>
      <c r="M59" s="63">
        <f>IF(AND(J58=1,J59=1,J60=0,DAY(Simulation!$C$11)=1),0,IF(J59=1,IF(L59&lt;&gt;0,L59,C59),0))</f>
        <v>0</v>
      </c>
      <c r="N59" s="67">
        <f t="shared" si="2"/>
        <v>1</v>
      </c>
      <c r="O59" s="68">
        <f>IF($E$33=5,(($B$25*$B$11)/365)*$C59*$E$33*$F59*Simulation!$C$10,((($B$25*$B$11)/365)*$M59*Simulation!$C$10)+(($B$25*$B$11)/365)*$N59*$F59*Simulation!$C$10)</f>
        <v>4779.4520547945203</v>
      </c>
      <c r="P59" s="69">
        <f>IF($E$33=5,(($B$26*$B$12)/365)*$C59*$E$33*$F59*Simulation!$C$10,((($B$26*$B$12)/365)*$M59*Simulation!$C$10)+(($B$26*$B$12)/365)*$N59*$F59*Simulation!$C$10)</f>
        <v>2815.0684931506848</v>
      </c>
      <c r="Q59" s="107">
        <f>IF($E$33=5,($E$20/365)*$C59*$E$33*$F59*Simulation!$C$10,(($E$20/365)*$M59*Simulation!$C$10)+($E$20/365)*$N59*$F59*Simulation!$C$10)</f>
        <v>0</v>
      </c>
      <c r="R59" s="107" t="e">
        <f>IF($E$33=5,($E$21*#REF!/365)*$C59*$E$33*$F59*Simulation!$C$10,(($E$21*#REF!/365)*$M59*Simulation!$C$10)+($E$21*#REF!/365)*$N59*$F59*Simulation!$C$10)</f>
        <v>#REF!</v>
      </c>
    </row>
    <row r="60" spans="1:18" s="25" customFormat="1" ht="15" x14ac:dyDescent="0.25">
      <c r="A60" s="60">
        <v>43922</v>
      </c>
      <c r="B60" s="61">
        <v>43922</v>
      </c>
      <c r="C60" s="62">
        <f>MAX(0,MIN(EOMONTH(B60,0),Simulation!$C$12)-MAX(B60,Simulation!$C$11)+1)</f>
        <v>30</v>
      </c>
      <c r="D60" s="182"/>
      <c r="E60" s="184"/>
      <c r="F60" s="143">
        <v>1</v>
      </c>
      <c r="G60" s="63">
        <f t="shared" si="0"/>
        <v>30</v>
      </c>
      <c r="H60" s="186"/>
      <c r="I60" s="64">
        <f>IF(Simulation!$C$12&gt;=$B$108,IF(AND(YEAR(Simulation!$C$11)=YEAR(A60),MONTH(A60)=MONTH(Simulation!$C$11)),1,0),0)</f>
        <v>0</v>
      </c>
      <c r="J60" s="65">
        <f>IF($H$33=0,0,IF($H$33=1,SUM(I48:I60),IF($H$33=2,SUM(I36:I60),IF($H$33=3,SUM(I25:I60),IF($H$33=4,SUM(I15:I60),"more than 4 years")))))</f>
        <v>0</v>
      </c>
      <c r="K60" s="66" t="str">
        <f t="shared" si="1"/>
        <v>ok</v>
      </c>
      <c r="L60" s="66">
        <f>IF(J60=1,IF(J61=0,IF(DAY(Simulation!$C$11)=1,0,DAY(Simulation!$C$11)-1),0),0)</f>
        <v>0</v>
      </c>
      <c r="M60" s="63">
        <f>IF(AND(J59=1,J60=1,J61=0,DAY(Simulation!$C$11)=1),0,IF(J60=1,IF(L60&lt;&gt;0,L60,C60),0))</f>
        <v>0</v>
      </c>
      <c r="N60" s="67">
        <f t="shared" si="2"/>
        <v>30</v>
      </c>
      <c r="O60" s="68">
        <f>IF($E$33=5,(($B$25*$B$11)/365)*$C60*$E$33*$F60*Simulation!$C$10,((($B$25*$B$11)/365)*$M60*Simulation!$C$10)+(($B$25*$B$11)/365)*$N60*$F60*Simulation!$C$10)</f>
        <v>143383.56164383562</v>
      </c>
      <c r="P60" s="69">
        <f>IF($E$33=5,(($B$26*$B$12)/365)*$C60*$E$33*$F60*Simulation!$C$10,((($B$26*$B$12)/365)*$M60*Simulation!$C$10)+(($B$26*$B$12)/365)*$N60*$F60*Simulation!$C$10)</f>
        <v>84452.054794520547</v>
      </c>
      <c r="Q60" s="107">
        <f>IF($E$33=5,($E$20/365)*$C60*$E$33*$F60*Simulation!$C$10,(($E$20/365)*$M60*Simulation!$C$10)+($E$20/365)*$N60*$F60*Simulation!$C$10)</f>
        <v>0</v>
      </c>
      <c r="R60" s="107" t="e">
        <f>IF($E$33=5,($E$21*#REF!/365)*$C60*$E$33*$F60*Simulation!$C$10,(($E$21*#REF!/365)*$M60*Simulation!$C$10)+($E$21*#REF!/365)*$N60*$F60*Simulation!$C$10)</f>
        <v>#REF!</v>
      </c>
    </row>
    <row r="61" spans="1:18" s="25" customFormat="1" ht="15" x14ac:dyDescent="0.25">
      <c r="A61" s="60">
        <v>43952</v>
      </c>
      <c r="B61" s="61">
        <v>43952</v>
      </c>
      <c r="C61" s="62">
        <f>MAX(0,MIN(EOMONTH(B61,0),Simulation!$C$12)-MAX(B61,Simulation!$C$11)+1)</f>
        <v>31</v>
      </c>
      <c r="D61" s="182"/>
      <c r="E61" s="184"/>
      <c r="F61" s="143">
        <v>1</v>
      </c>
      <c r="G61" s="63">
        <f t="shared" si="0"/>
        <v>31</v>
      </c>
      <c r="H61" s="186"/>
      <c r="I61" s="64">
        <f>IF(Simulation!$C$12&gt;=$B$108,IF(AND(YEAR(Simulation!$C$11)=YEAR(A61),MONTH(A61)=MONTH(Simulation!$C$11)),1,0),0)</f>
        <v>0</v>
      </c>
      <c r="J61" s="65">
        <f>IF($H$33=0,0,IF($H$33=1,SUM(I49:I61),IF($H$33=2,SUM(I37:I61),IF($H$33=3,SUM(I27:I61),IF($H$33=4,SUM(I16:I61),"more than 4 years")))))</f>
        <v>0</v>
      </c>
      <c r="K61" s="66" t="str">
        <f t="shared" si="1"/>
        <v>ok</v>
      </c>
      <c r="L61" s="66">
        <f>IF(J61=1,IF(J62=0,IF(DAY(Simulation!$C$11)=1,0,DAY(Simulation!$C$11)-1),0),0)</f>
        <v>0</v>
      </c>
      <c r="M61" s="63">
        <f>IF(AND(J60=1,J61=1,J62=0,DAY(Simulation!$C$11)=1),0,IF(J61=1,IF(L61&lt;&gt;0,L61,C61),0))</f>
        <v>0</v>
      </c>
      <c r="N61" s="67">
        <f t="shared" si="2"/>
        <v>31</v>
      </c>
      <c r="O61" s="68">
        <f>IF($E$33=5,(($B$25*$B$11)/365)*$C61*$E$33*$F61*Simulation!$C$10,((($B$25*$B$11)/365)*$M61*Simulation!$C$10)+(($B$25*$B$11)/365)*$N61*$F61*Simulation!$C$10)</f>
        <v>148163.01369863012</v>
      </c>
      <c r="P61" s="69">
        <f>IF($E$33=5,(($B$26*$B$12)/365)*$C61*$E$33*$F61*Simulation!$C$10,((($B$26*$B$12)/365)*$M61*Simulation!$C$10)+(($B$26*$B$12)/365)*$N61*$F61*Simulation!$C$10)</f>
        <v>87267.123287671246</v>
      </c>
      <c r="Q61" s="107">
        <f>IF($E$33=5,($E$20/365)*$C61*$E$33*$F61*Simulation!$C$10,(($E$20/365)*$M61*Simulation!$C$10)+($E$20/365)*$N61*$F61*Simulation!$C$10)</f>
        <v>0</v>
      </c>
      <c r="R61" s="107" t="e">
        <f>IF($E$33=5,($E$21*#REF!/365)*$C61*$E$33*$F61*Simulation!$C$10,(($E$21*#REF!/365)*$M61*Simulation!$C$10)+($E$21*#REF!/365)*$N61*$F61*Simulation!$C$10)</f>
        <v>#REF!</v>
      </c>
    </row>
    <row r="62" spans="1:18" s="25" customFormat="1" ht="15" x14ac:dyDescent="0.25">
      <c r="A62" s="60">
        <v>43983</v>
      </c>
      <c r="B62" s="61">
        <v>43983</v>
      </c>
      <c r="C62" s="62">
        <f>MAX(0,MIN(EOMONTH(B62,0),Simulation!$C$12)-MAX(B62,Simulation!$C$11)+1)</f>
        <v>30</v>
      </c>
      <c r="D62" s="182"/>
      <c r="E62" s="184"/>
      <c r="F62" s="143">
        <v>1</v>
      </c>
      <c r="G62" s="63">
        <f t="shared" si="0"/>
        <v>30</v>
      </c>
      <c r="H62" s="186"/>
      <c r="I62" s="64">
        <f>IF(Simulation!$C$12&gt;=$B$108,IF(AND(YEAR(Simulation!$C$11)=YEAR(A62),MONTH(A62)=MONTH(Simulation!$C$11)),1,0),0)</f>
        <v>0</v>
      </c>
      <c r="J62" s="65">
        <f>IF($H$33=0,0,IF($H$33=1,SUM(I50:I62),IF($H$33=2,SUM(I38:I62),IF($H$33=3,SUM(I27:I62),IF($H$33=4,SUM(I17:I62),"more than 4 years")))))</f>
        <v>0</v>
      </c>
      <c r="K62" s="66" t="str">
        <f t="shared" si="1"/>
        <v>ok</v>
      </c>
      <c r="L62" s="66">
        <f>IF(J62=1,IF(J63=0,IF(DAY(Simulation!$C$11)=1,0,DAY(Simulation!$C$11)-1),0),0)</f>
        <v>0</v>
      </c>
      <c r="M62" s="63">
        <f>IF(AND(J61=1,J62=1,J63=0,DAY(Simulation!$C$11)=1),0,IF(J62=1,IF(L62&lt;&gt;0,L62,C62),0))</f>
        <v>0</v>
      </c>
      <c r="N62" s="67">
        <f t="shared" si="2"/>
        <v>30</v>
      </c>
      <c r="O62" s="68">
        <f>IF($E$33=5,(($B$25*$B$11)/365)*$C62*$E$33*$F62*Simulation!$C$10,((($B$25*$B$11)/365)*$M62*Simulation!$C$10)+(($B$25*$B$11)/365)*$N62*$F62*Simulation!$C$10)</f>
        <v>143383.56164383562</v>
      </c>
      <c r="P62" s="69">
        <f>IF($E$33=5,(($B$26*$B$12)/365)*$C62*$E$33*$F62*Simulation!$C$10,((($B$26*$B$12)/365)*$M62*Simulation!$C$10)+(($B$26*$B$12)/365)*$N62*$F62*Simulation!$C$10)</f>
        <v>84452.054794520547</v>
      </c>
      <c r="Q62" s="107">
        <f>IF($E$33=5,($E$20/365)*$C62*$E$33*$F62*Simulation!$C$10,(($E$20/365)*$M62*Simulation!$C$10)+($E$20/365)*$N62*$F62*Simulation!$C$10)</f>
        <v>0</v>
      </c>
      <c r="R62" s="107" t="e">
        <f>IF($E$33=5,($E$21*#REF!/365)*$C62*$E$33*$F62*Simulation!$C$10,(($E$21*#REF!/365)*$M62*Simulation!$C$10)+($E$21*#REF!/365)*$N62*$F62*Simulation!$C$10)</f>
        <v>#REF!</v>
      </c>
    </row>
    <row r="63" spans="1:18" s="25" customFormat="1" ht="15" x14ac:dyDescent="0.25">
      <c r="A63" s="60">
        <v>44013</v>
      </c>
      <c r="B63" s="61">
        <v>44013</v>
      </c>
      <c r="C63" s="62">
        <f>MAX(0,MIN(EOMONTH(B63,0),Simulation!$C$12)-MAX(B63,Simulation!$C$11)+1)</f>
        <v>31</v>
      </c>
      <c r="D63" s="182"/>
      <c r="E63" s="184"/>
      <c r="F63" s="143">
        <v>1</v>
      </c>
      <c r="G63" s="63">
        <f t="shared" si="0"/>
        <v>31</v>
      </c>
      <c r="H63" s="186"/>
      <c r="I63" s="64">
        <f>IF(Simulation!$C$12&gt;=$B$108,IF(AND(YEAR(Simulation!$C$11)=YEAR(A63),MONTH(A63)=MONTH(Simulation!$C$11)),1,0),0)</f>
        <v>0</v>
      </c>
      <c r="J63" s="65">
        <f>IF($H$33=0,0,IF($H$33=1,SUM(I51:I63),IF($H$33=2,SUM(I39:I63),IF($H$33=3,SUM(I27:I63),IF($H$33=4,SUM(I18:I63),"more than 4 years")))))</f>
        <v>0</v>
      </c>
      <c r="K63" s="66" t="str">
        <f t="shared" si="1"/>
        <v>ok</v>
      </c>
      <c r="L63" s="66">
        <f>IF(J63=1,IF(J64=0,IF(DAY(Simulation!$C$11)=1,0,DAY(Simulation!$C$11)-1),0),0)</f>
        <v>0</v>
      </c>
      <c r="M63" s="63">
        <f>IF(AND(J62=1,J63=1,J64=0,DAY(Simulation!$C$11)=1),0,IF(J63=1,IF(L63&lt;&gt;0,L63,C63),0))</f>
        <v>0</v>
      </c>
      <c r="N63" s="67">
        <f t="shared" si="2"/>
        <v>31</v>
      </c>
      <c r="O63" s="68">
        <f>IF($E$33=5,(($B$25*$B$11)/365)*$C63*$E$33*$F63*Simulation!$C$10,((($B$25*$B$11)/365)*$M63*Simulation!$C$10)+(($B$25*$B$11)/365)*$N63*$F63*Simulation!$C$10)</f>
        <v>148163.01369863012</v>
      </c>
      <c r="P63" s="69">
        <f>IF($E$33=5,(($B$26*$B$12)/365)*$C63*$E$33*$F63*Simulation!$C$10,((($B$26*$B$12)/365)*$M63*Simulation!$C$10)+(($B$26*$B$12)/365)*$N63*$F63*Simulation!$C$10)</f>
        <v>87267.123287671246</v>
      </c>
      <c r="Q63" s="107">
        <f>IF($E$33=5,($E$20/365)*$C63*$E$33*$F63*Simulation!$C$10,(($E$20/365)*$M63*Simulation!$C$10)+($E$20/365)*$N63*$F63*Simulation!$C$10)</f>
        <v>0</v>
      </c>
      <c r="R63" s="107" t="e">
        <f>IF($E$33=5,($E$21*#REF!/365)*$C63*$E$33*$F63*Simulation!$C$10,(($E$21*#REF!/365)*$M63*Simulation!$C$10)+($E$21*#REF!/365)*$N63*$F63*Simulation!$C$10)</f>
        <v>#REF!</v>
      </c>
    </row>
    <row r="64" spans="1:18" s="25" customFormat="1" ht="15" x14ac:dyDescent="0.25">
      <c r="A64" s="60">
        <v>44044</v>
      </c>
      <c r="B64" s="61">
        <v>44044</v>
      </c>
      <c r="C64" s="62">
        <f>MAX(0,MIN(EOMONTH(B64,0),Simulation!$C$12)-MAX(B64,Simulation!$C$11)+1)</f>
        <v>0</v>
      </c>
      <c r="D64" s="182"/>
      <c r="E64" s="184"/>
      <c r="F64" s="143">
        <v>1</v>
      </c>
      <c r="G64" s="63">
        <f t="shared" si="0"/>
        <v>31</v>
      </c>
      <c r="H64" s="186"/>
      <c r="I64" s="64">
        <f>IF(Simulation!$C$12&gt;=$B$108,IF(AND(YEAR(Simulation!$C$11)=YEAR(A64),MONTH(A64)=MONTH(Simulation!$C$11)),1,0),0)</f>
        <v>0</v>
      </c>
      <c r="J64" s="65">
        <f>IF($H$33=0,0,IF($H$33=1,SUM(I52:I64),IF($H$33=2,SUM(I40:I64),IF($H$33=3,SUM(I28:I64),IF($H$33=4,SUM(I19:I64),"more than 4 years")))))</f>
        <v>0</v>
      </c>
      <c r="K64" s="66" t="str">
        <f t="shared" si="1"/>
        <v>ok</v>
      </c>
      <c r="L64" s="66">
        <f>IF(J64=1,IF(J65=0,IF(DAY(Simulation!$C$11)=1,0,DAY(Simulation!$C$11)-1),0),0)</f>
        <v>0</v>
      </c>
      <c r="M64" s="63">
        <f>IF(AND(J63=1,J64=1,J65=0,DAY(Simulation!$C$11)=1),0,IF(J64=1,IF(L64&lt;&gt;0,L64,C64),0))</f>
        <v>0</v>
      </c>
      <c r="N64" s="67">
        <f t="shared" si="2"/>
        <v>0</v>
      </c>
      <c r="O64" s="68">
        <f>IF($E$33=5,(($B$25*$B$11)/365)*$C64*$E$33*$F64*Simulation!$C$10,((($B$25*$B$11)/365)*$M64*Simulation!$C$10)+(($B$25*$B$11)/365)*$N64*$F64*Simulation!$C$10)</f>
        <v>0</v>
      </c>
      <c r="P64" s="69">
        <f>IF($E$33=5,(($B$26*$B$12)/365)*$C64*$E$33*$F64*Simulation!$C$10,((($B$26*$B$12)/365)*$M64*Simulation!$C$10)+(($B$26*$B$12)/365)*$N64*$F64*Simulation!$C$10)</f>
        <v>0</v>
      </c>
      <c r="Q64" s="107">
        <f>IF($E$33=5,($E$20/365)*$C64*$E$33*$F64*Simulation!$C$10,(($E$20/365)*$M64*Simulation!$C$10)+($E$20/365)*$N64*$F64*Simulation!$C$10)</f>
        <v>0</v>
      </c>
      <c r="R64" s="107" t="e">
        <f>IF($E$33=5,($E$21*#REF!/365)*$C64*$E$33*$F64*Simulation!$C$10,(($E$21*#REF!/365)*$M64*Simulation!$C$10)+($E$21*#REF!/365)*$N64*$F64*Simulation!$C$10)</f>
        <v>#REF!</v>
      </c>
    </row>
    <row r="65" spans="1:18" s="25" customFormat="1" ht="15" x14ac:dyDescent="0.25">
      <c r="A65" s="60">
        <v>44075</v>
      </c>
      <c r="B65" s="61">
        <v>44075</v>
      </c>
      <c r="C65" s="62">
        <f>MAX(0,MIN(EOMONTH(B65,0),Simulation!$C$12)-MAX(B65,Simulation!$C$11)+1)</f>
        <v>0</v>
      </c>
      <c r="D65" s="182"/>
      <c r="E65" s="184"/>
      <c r="F65" s="143">
        <v>1</v>
      </c>
      <c r="G65" s="63">
        <f t="shared" si="0"/>
        <v>30</v>
      </c>
      <c r="H65" s="186"/>
      <c r="I65" s="64">
        <f>IF(Simulation!$C$12&gt;=$B$108,IF(AND(YEAR(Simulation!$C$11)=YEAR(A65),MONTH(A65)=MONTH(Simulation!$C$11)),1,0),0)</f>
        <v>0</v>
      </c>
      <c r="J65" s="65">
        <f>IF($H$33=0,0,IF($H$33=1,SUM(I53:I65),IF($H$33=2,SUM(I41:I65),IF($H$33=3,SUM(I29:I65),IF($H$33=4,SUM(I20:I65),"more than 4 years")))))</f>
        <v>0</v>
      </c>
      <c r="K65" s="66" t="str">
        <f t="shared" si="1"/>
        <v>ok</v>
      </c>
      <c r="L65" s="66">
        <f>IF(J65=1,IF(J66=0,IF(DAY(Simulation!$C$11)=1,0,DAY(Simulation!$C$11)-1),0),0)</f>
        <v>0</v>
      </c>
      <c r="M65" s="63">
        <f>IF(AND(J64=1,J65=1,J66=0,DAY(Simulation!$C$11)=1),0,IF(J65=1,IF(L65&lt;&gt;0,L65,C65),0))</f>
        <v>0</v>
      </c>
      <c r="N65" s="67">
        <f t="shared" si="2"/>
        <v>0</v>
      </c>
      <c r="O65" s="68">
        <f>IF($E$33=5,(($B$25*$B$11)/365)*$C65*$E$33*$F65*Simulation!$C$10,((($B$25*$B$11)/365)*$M65*Simulation!$C$10)+(($B$25*$B$11)/365)*$N65*$F65*Simulation!$C$10)</f>
        <v>0</v>
      </c>
      <c r="P65" s="69">
        <f>IF($E$33=5,(($B$26*$B$12)/365)*$C65*$E$33*$F65*Simulation!$C$10,((($B$26*$B$12)/365)*$M65*Simulation!$C$10)+(($B$26*$B$12)/365)*$N65*$F65*Simulation!$C$10)</f>
        <v>0</v>
      </c>
      <c r="Q65" s="107">
        <f>IF($E$33=5,($E$20/365)*$C65*$E$33*$F65*Simulation!$C$10,(($E$20/365)*$M65*Simulation!$C$10)+($E$20/365)*$N65*$F65*Simulation!$C$10)</f>
        <v>0</v>
      </c>
      <c r="R65" s="107" t="e">
        <f>IF($E$33=5,($E$21*#REF!/365)*$C65*$E$33*$F65*Simulation!$C$10,(($E$21*#REF!/365)*$M65*Simulation!$C$10)+($E$21*#REF!/365)*$N65*$F65*Simulation!$C$10)</f>
        <v>#REF!</v>
      </c>
    </row>
    <row r="66" spans="1:18" s="25" customFormat="1" ht="15" x14ac:dyDescent="0.25">
      <c r="A66" s="60">
        <v>44105</v>
      </c>
      <c r="B66" s="61">
        <v>44105</v>
      </c>
      <c r="C66" s="62">
        <f>MAX(0,MIN(EOMONTH(B66,0),Simulation!$C$12)-MAX(B66,Simulation!$C$11)+1)</f>
        <v>0</v>
      </c>
      <c r="D66" s="182"/>
      <c r="E66" s="184"/>
      <c r="F66" s="143">
        <v>1</v>
      </c>
      <c r="G66" s="63">
        <f t="shared" si="0"/>
        <v>31</v>
      </c>
      <c r="H66" s="186"/>
      <c r="I66" s="64">
        <f>IF(Simulation!$C$12&gt;=$B$108,IF(AND(YEAR(Simulation!$C$11)=YEAR(A66),MONTH(A66)=MONTH(Simulation!$C$11)),1,0),0)</f>
        <v>0</v>
      </c>
      <c r="J66" s="65">
        <f>IF($H$33=0,0,IF($H$33=1,SUM(I54:I66),IF($H$33=2,SUM(I42:I66),IF($H$33=3,SUM(I30:I66),IF($H$33=4,SUM(I21:I66),"more than 4 years")))))</f>
        <v>0</v>
      </c>
      <c r="K66" s="66" t="str">
        <f t="shared" si="1"/>
        <v>ok</v>
      </c>
      <c r="L66" s="66">
        <f>IF(J66=1,IF(J67=0,IF(DAY(Simulation!$C$11)=1,0,DAY(Simulation!$C$11)-1),0),0)</f>
        <v>0</v>
      </c>
      <c r="M66" s="63">
        <f>IF(AND(J65=1,J66=1,J67=0,DAY(Simulation!$C$11)=1),0,IF(J66=1,IF(L66&lt;&gt;0,L66,C66),0))</f>
        <v>0</v>
      </c>
      <c r="N66" s="67">
        <f t="shared" si="2"/>
        <v>0</v>
      </c>
      <c r="O66" s="68">
        <f>IF($E$33=5,(($B$25*$B$11)/365)*$C66*$E$33*$F66*Simulation!$C$10,((($B$25*$B$11)/365)*$M66*Simulation!$C$10)+(($B$25*$B$11)/365)*$N66*$F66*Simulation!$C$10)</f>
        <v>0</v>
      </c>
      <c r="P66" s="69">
        <f>IF($E$33=5,(($B$26*$B$12)/365)*$C66*$E$33*$F66*Simulation!$C$10,((($B$26*$B$12)/365)*$M66*Simulation!$C$10)+(($B$26*$B$12)/365)*$N66*$F66*Simulation!$C$10)</f>
        <v>0</v>
      </c>
      <c r="Q66" s="107">
        <f>IF($E$33=5,($E$20/365)*$C66*$E$33*$F66*Simulation!$C$10,(($E$20/365)*$M66*Simulation!$C$10)+($E$20/365)*$N66*$F66*Simulation!$C$10)</f>
        <v>0</v>
      </c>
      <c r="R66" s="107" t="e">
        <f>IF($E$33=5,($E$21*#REF!/365)*$C66*$E$33*$F66*Simulation!$C$10,(($E$21*#REF!/365)*$M66*Simulation!$C$10)+($E$21*#REF!/365)*$N66*$F66*Simulation!$C$10)</f>
        <v>#REF!</v>
      </c>
    </row>
    <row r="67" spans="1:18" s="25" customFormat="1" ht="15" x14ac:dyDescent="0.25">
      <c r="A67" s="60">
        <v>44136</v>
      </c>
      <c r="B67" s="61">
        <v>44136</v>
      </c>
      <c r="C67" s="62">
        <f>MAX(0,MIN(EOMONTH(B67,0),Simulation!$C$12)-MAX(B67,Simulation!$C$11)+1)</f>
        <v>0</v>
      </c>
      <c r="D67" s="182"/>
      <c r="E67" s="184"/>
      <c r="F67" s="143">
        <v>1</v>
      </c>
      <c r="G67" s="63">
        <f t="shared" si="0"/>
        <v>30</v>
      </c>
      <c r="H67" s="186"/>
      <c r="I67" s="64">
        <f>IF(Simulation!$C$12&gt;=$B$108,IF(AND(YEAR(Simulation!$C$11)=YEAR(A67),MONTH(A67)=MONTH(Simulation!$C$11)),1,0),0)</f>
        <v>0</v>
      </c>
      <c r="J67" s="65">
        <f>IF($H$33=0,0,IF($H$33=1,SUM(I55:I67),IF($H$33=2,SUM(I43:I67),IF($H$33=3,SUM(I31:I67),IF($H$33=4,SUM(I21:I67),"more than 4 years")))))</f>
        <v>0</v>
      </c>
      <c r="K67" s="66" t="str">
        <f t="shared" si="1"/>
        <v>ok</v>
      </c>
      <c r="L67" s="66">
        <f>IF(J67=1,IF(J68=0,IF(DAY(Simulation!$C$11)=1,0,DAY(Simulation!$C$11)-1),0),0)</f>
        <v>0</v>
      </c>
      <c r="M67" s="63">
        <f>IF(AND(J66=1,J67=1,J68=0,DAY(Simulation!$C$11)=1),0,IF(J67=1,IF(L67&lt;&gt;0,L67,C67),0))</f>
        <v>0</v>
      </c>
      <c r="N67" s="67">
        <f t="shared" si="2"/>
        <v>0</v>
      </c>
      <c r="O67" s="68">
        <f>IF($E$33=5,(($B$25*$B$11)/365)*$C67*$E$33*$F67*Simulation!$C$10,((($B$25*$B$11)/365)*$M67*Simulation!$C$10)+(($B$25*$B$11)/365)*$N67*$F67*Simulation!$C$10)</f>
        <v>0</v>
      </c>
      <c r="P67" s="69">
        <f>IF($E$33=5,(($B$26*$B$12)/365)*$C67*$E$33*$F67*Simulation!$C$10,((($B$26*$B$12)/365)*$M67*Simulation!$C$10)+(($B$26*$B$12)/365)*$N67*$F67*Simulation!$C$10)</f>
        <v>0</v>
      </c>
      <c r="Q67" s="107">
        <f>IF($E$33=5,($E$20/365)*$C67*$E$33*$F67*Simulation!$C$10,(($E$20/365)*$M67*Simulation!$C$10)+($E$20/365)*$N67*$F67*Simulation!$C$10)</f>
        <v>0</v>
      </c>
      <c r="R67" s="107" t="e">
        <f>IF($E$33=5,($E$21*#REF!/365)*$C67*$E$33*$F67*Simulation!$C$10,(($E$21*#REF!/365)*$M67*Simulation!$C$10)+($E$21*#REF!/365)*$N67*$F67*Simulation!$C$10)</f>
        <v>#REF!</v>
      </c>
    </row>
    <row r="68" spans="1:18" s="25" customFormat="1" ht="15" x14ac:dyDescent="0.25">
      <c r="A68" s="60">
        <v>44166</v>
      </c>
      <c r="B68" s="61">
        <v>44166</v>
      </c>
      <c r="C68" s="62">
        <f>MAX(0,MIN(EOMONTH(B68,0),Simulation!$C$12)-MAX(B68,Simulation!$C$11)+1)</f>
        <v>0</v>
      </c>
      <c r="D68" s="182"/>
      <c r="E68" s="184"/>
      <c r="F68" s="143">
        <v>1</v>
      </c>
      <c r="G68" s="63">
        <f t="shared" si="0"/>
        <v>31</v>
      </c>
      <c r="H68" s="186"/>
      <c r="I68" s="64">
        <f>IF(Simulation!$C$12&gt;=$B$108,IF(AND(YEAR(Simulation!$C$11)=YEAR(A68),MONTH(A68)=MONTH(Simulation!$C$11)),1,0),0)</f>
        <v>0</v>
      </c>
      <c r="J68" s="65">
        <f>IF($H$33=0,0,IF($H$33=1,SUM(I56:I68),IF($H$33=2,SUM(I44:I68),IF($H$33=3,SUM(I32:I68),IF($H$33=4,SUM(I22:I68),"more than 4 years")))))</f>
        <v>0</v>
      </c>
      <c r="K68" s="66" t="str">
        <f t="shared" si="1"/>
        <v>ok</v>
      </c>
      <c r="L68" s="66">
        <f>IF(J68=1,IF(J69=0,IF(DAY(Simulation!$C$11)=1,0,DAY(Simulation!$C$11)-1),0),0)</f>
        <v>0</v>
      </c>
      <c r="M68" s="63">
        <f>IF(AND(J67=1,J68=1,J69=0,DAY(Simulation!$C$11)=1),0,IF(J68=1,IF(L68&lt;&gt;0,L68,C68),0))</f>
        <v>0</v>
      </c>
      <c r="N68" s="67">
        <f t="shared" si="2"/>
        <v>0</v>
      </c>
      <c r="O68" s="68">
        <f>IF($E$33=5,(($B$25*$B$11)/365)*$C68*$E$33*$F68*Simulation!$C$10,((($B$25*$B$11)/365)*$M68*Simulation!$C$10)+(($B$25*$B$11)/365)*$N68*$F68*Simulation!$C$10)</f>
        <v>0</v>
      </c>
      <c r="P68" s="69">
        <f>IF($E$33=5,(($B$26*$B$12)/365)*$C68*$E$33*$F68*Simulation!$C$10,((($B$26*$B$12)/365)*$M68*Simulation!$C$10)+(($B$26*$B$12)/365)*$N68*$F68*Simulation!$C$10)</f>
        <v>0</v>
      </c>
      <c r="Q68" s="107">
        <f>IF($E$33=5,($E$20/365)*$C68*$E$33*$F68*Simulation!$C$10,(($E$20/365)*$M68*Simulation!$C$10)+($E$20/365)*$N68*$F68*Simulation!$C$10)</f>
        <v>0</v>
      </c>
      <c r="R68" s="107" t="e">
        <f>IF($E$33=5,($E$21*#REF!/365)*$C68*$E$33*$F68*Simulation!$C$10,(($E$21*#REF!/365)*$M68*Simulation!$C$10)+($E$21*#REF!/365)*$N68*$F68*Simulation!$C$10)</f>
        <v>#REF!</v>
      </c>
    </row>
    <row r="69" spans="1:18" s="25" customFormat="1" ht="15" x14ac:dyDescent="0.25">
      <c r="A69" s="60">
        <v>44197</v>
      </c>
      <c r="B69" s="61">
        <v>44197</v>
      </c>
      <c r="C69" s="62">
        <f>MAX(0,MIN(EOMONTH(B69,0),Simulation!$C$12)-MAX(B69,Simulation!$C$11)+1)</f>
        <v>0</v>
      </c>
      <c r="D69" s="182"/>
      <c r="E69" s="184"/>
      <c r="F69" s="143">
        <v>1</v>
      </c>
      <c r="G69" s="63">
        <f t="shared" si="0"/>
        <v>31</v>
      </c>
      <c r="H69" s="186"/>
      <c r="I69" s="64">
        <f>IF(Simulation!$C$12&gt;=$B$108,IF(AND(YEAR(Simulation!$C$11)=YEAR(A69),MONTH(A69)=MONTH(Simulation!$C$11)),1,0),0)</f>
        <v>0</v>
      </c>
      <c r="J69" s="65">
        <f>IF($H$33=0,0,IF($H$33=1,SUM(I57:I69),IF($H$33=2,SUM(I45:I69),IF($H$33=3,SUM(I33:I69),IF($H$33=4,SUM(I22:I69),"more than 4 years")))))</f>
        <v>0</v>
      </c>
      <c r="K69" s="66" t="str">
        <f t="shared" si="1"/>
        <v>ok</v>
      </c>
      <c r="L69" s="66">
        <f>IF(J69=1,IF(J70=0,IF(DAY(Simulation!$C$11)=1,0,DAY(Simulation!$C$11)-1),0),0)</f>
        <v>0</v>
      </c>
      <c r="M69" s="63">
        <f>IF(AND(J68=1,J69=1,J70=0,DAY(Simulation!$C$11)=1),0,IF(J69=1,IF(L69&lt;&gt;0,L69,C69),0))</f>
        <v>0</v>
      </c>
      <c r="N69" s="67">
        <f t="shared" si="2"/>
        <v>0</v>
      </c>
      <c r="O69" s="68">
        <f>IF($E$33=5,(($B$25*$B$11)/365)*$C69*$E$33*$F69*Simulation!$C$10,((($B$25*$B$11)/365)*$M69*Simulation!$C$10)+(($B$25*$B$11)/365)*$N69*$F69*Simulation!$C$10)</f>
        <v>0</v>
      </c>
      <c r="P69" s="69">
        <f>IF($E$33=5,(($B$26*$B$12)/365)*$C69*$E$33*$F69*Simulation!$C$10,((($B$26*$B$12)/365)*$M69*Simulation!$C$10)+(($B$26*$B$12)/365)*$N69*$F69*Simulation!$C$10)</f>
        <v>0</v>
      </c>
      <c r="Q69" s="107">
        <f>IF($E$33=5,($E$20/365)*$C69*$E$33*$F69*Simulation!$C$10,(($E$20/365)*$M69*Simulation!$C$10)+($E$20/365)*$N69*$F69*Simulation!$C$10)</f>
        <v>0</v>
      </c>
      <c r="R69" s="107" t="e">
        <f>IF($E$33=5,($E$21*#REF!/365)*$C69*$E$33*$F69*Simulation!$C$10,(($E$21*#REF!/365)*$M69*Simulation!$C$10)+($E$21*#REF!/365)*$N69*$F69*Simulation!$C$10)</f>
        <v>#REF!</v>
      </c>
    </row>
    <row r="70" spans="1:18" s="25" customFormat="1" ht="15" x14ac:dyDescent="0.25">
      <c r="A70" s="60">
        <v>44228</v>
      </c>
      <c r="B70" s="61">
        <v>44228</v>
      </c>
      <c r="C70" s="62">
        <f>MAX(0,MIN(EOMONTH(B70,0),Simulation!$C$12)-MAX(B70,Simulation!$C$11)+1)</f>
        <v>0</v>
      </c>
      <c r="D70" s="182"/>
      <c r="E70" s="184"/>
      <c r="F70" s="143">
        <v>1</v>
      </c>
      <c r="G70" s="63">
        <f t="shared" si="0"/>
        <v>28</v>
      </c>
      <c r="H70" s="186"/>
      <c r="I70" s="64">
        <f>IF(Simulation!$C$12&gt;=$B$108,IF(AND(YEAR(Simulation!$C$11)=YEAR(A70),MONTH(A70)=MONTH(Simulation!$C$11)),1,0),0)</f>
        <v>0</v>
      </c>
      <c r="J70" s="65">
        <f>IF($H$33=0,0,IF($H$33=1,SUM(I58:I70),IF($H$33=2,SUM(I46:I70),IF($H$33=3,SUM(I34:I70),IF($H$33=4,SUM(I23:I70),"more than 4 years")))))</f>
        <v>0</v>
      </c>
      <c r="K70" s="66" t="str">
        <f t="shared" si="1"/>
        <v>ok</v>
      </c>
      <c r="L70" s="66">
        <f>IF(J70=1,IF(J71=0,IF(DAY(Simulation!$C$11)=1,0,DAY(Simulation!$C$11)-1),0),0)</f>
        <v>0</v>
      </c>
      <c r="M70" s="63">
        <f>IF(AND(J69=1,J70=1,J71=0,DAY(Simulation!$C$11)=1),0,IF(J70=1,IF(L70&lt;&gt;0,L70,C70),0))</f>
        <v>0</v>
      </c>
      <c r="N70" s="67">
        <f t="shared" si="2"/>
        <v>0</v>
      </c>
      <c r="O70" s="68">
        <f>IF($E$33=5,(($B$25*$B$11)/365)*$C70*$E$33*$F70*Simulation!$C$10,((($B$25*$B$11)/365)*$M70*Simulation!$C$10)+(($B$25*$B$11)/365)*$N70*$F70*Simulation!$C$10)</f>
        <v>0</v>
      </c>
      <c r="P70" s="69">
        <f>IF($E$33=5,(($B$26*$B$12)/365)*$C70*$E$33*$F70*Simulation!$C$10,((($B$26*$B$12)/365)*$M70*Simulation!$C$10)+(($B$26*$B$12)/365)*$N70*$F70*Simulation!$C$10)</f>
        <v>0</v>
      </c>
      <c r="Q70" s="107">
        <f>IF($E$33=5,($E$20/365)*$C70*$E$33*$F70*Simulation!$C$10,(($E$20/365)*$M70*Simulation!$C$10)+($E$20/365)*$N70*$F70*Simulation!$C$10)</f>
        <v>0</v>
      </c>
      <c r="R70" s="107" t="e">
        <f>IF($E$33=5,($E$21*#REF!/365)*$C70*$E$33*$F70*Simulation!$C$10,(($E$21*#REF!/365)*$M70*Simulation!$C$10)+($E$21*#REF!/365)*$N70*$F70*Simulation!$C$10)</f>
        <v>#REF!</v>
      </c>
    </row>
    <row r="71" spans="1:18" s="25" customFormat="1" ht="15" x14ac:dyDescent="0.25">
      <c r="A71" s="60">
        <v>44256</v>
      </c>
      <c r="B71" s="61">
        <v>44256</v>
      </c>
      <c r="C71" s="62">
        <f>MAX(0,MIN(EOMONTH(B71,0),Simulation!$C$12)-MAX(B71,Simulation!$C$11)+1)</f>
        <v>0</v>
      </c>
      <c r="D71" s="182"/>
      <c r="E71" s="184"/>
      <c r="F71" s="143">
        <v>1</v>
      </c>
      <c r="G71" s="63">
        <f t="shared" si="0"/>
        <v>31</v>
      </c>
      <c r="H71" s="186"/>
      <c r="I71" s="64">
        <f>IF(Simulation!$C$12&gt;=$B$108,IF(AND(YEAR(Simulation!$C$11)=YEAR(A71),MONTH(A71)=MONTH(Simulation!$C$11)),1,0),0)</f>
        <v>0</v>
      </c>
      <c r="J71" s="65">
        <f>IF($H$33=0,0,IF($H$33=1,SUM(I59:I71),IF($H$33=2,SUM(I47:I71),IF($H$33=3,SUM(I35:I71),IF($H$33=4,SUM(I24:I71),"more than 4 years")))))</f>
        <v>0</v>
      </c>
      <c r="K71" s="66" t="str">
        <f t="shared" si="1"/>
        <v>ok</v>
      </c>
      <c r="L71" s="66">
        <f>IF(J71=1,IF(J72=0,IF(DAY(Simulation!$C$11)=1,0,DAY(Simulation!$C$11)-1),0),0)</f>
        <v>0</v>
      </c>
      <c r="M71" s="63">
        <f>IF(AND(J70=1,J71=1,J72=0,DAY(Simulation!$C$11)=1),0,IF(J71=1,IF(L71&lt;&gt;0,L71,C71),0))</f>
        <v>0</v>
      </c>
      <c r="N71" s="67">
        <f t="shared" si="2"/>
        <v>0</v>
      </c>
      <c r="O71" s="68">
        <f>IF($E$33=5,(($B$25*$B$11)/365)*$C71*$E$33*$F71*Simulation!$C$10,((($B$25*$B$11)/365)*$M71*Simulation!$C$10)+(($B$25*$B$11)/365)*$N71*$F71*Simulation!$C$10)</f>
        <v>0</v>
      </c>
      <c r="P71" s="69">
        <f>IF($E$33=5,(($B$26*$B$12)/365)*$C71*$E$33*$F71*Simulation!$C$10,((($B$26*$B$12)/365)*$M71*Simulation!$C$10)+(($B$26*$B$12)/365)*$N71*$F71*Simulation!$C$10)</f>
        <v>0</v>
      </c>
      <c r="Q71" s="107">
        <f>IF($E$33=5,($E$20/365)*$C71*$E$33*$F71*Simulation!$C$10,(($E$20/365)*$M71*Simulation!$C$10)+($E$20/365)*$N71*$F71*Simulation!$C$10)</f>
        <v>0</v>
      </c>
      <c r="R71" s="107" t="e">
        <f>IF($E$33=5,($E$21*#REF!/365)*$C71*$E$33*$F71*Simulation!$C$10,(($E$21*#REF!/365)*$M71*Simulation!$C$10)+($E$21*#REF!/365)*$N71*$F71*Simulation!$C$10)</f>
        <v>#REF!</v>
      </c>
    </row>
    <row r="72" spans="1:18" s="25" customFormat="1" ht="15" x14ac:dyDescent="0.25">
      <c r="A72" s="60">
        <v>44287</v>
      </c>
      <c r="B72" s="61">
        <v>44287</v>
      </c>
      <c r="C72" s="62">
        <f>MAX(0,MIN(EOMONTH(B72,0),Simulation!$C$12)-MAX(B72,Simulation!$C$11)+1)</f>
        <v>0</v>
      </c>
      <c r="D72" s="182"/>
      <c r="E72" s="184"/>
      <c r="F72" s="143">
        <v>1</v>
      </c>
      <c r="G72" s="63">
        <f t="shared" si="0"/>
        <v>30</v>
      </c>
      <c r="H72" s="186"/>
      <c r="I72" s="64">
        <f>IF(Simulation!$C$12&gt;=$B$108,IF(AND(YEAR(Simulation!$C$11)=YEAR(A72),MONTH(A72)=MONTH(Simulation!$C$11)),1,0),0)</f>
        <v>0</v>
      </c>
      <c r="J72" s="65">
        <f>IF($H$33=0,0,IF($H$33=1,SUM(I60:I72),IF($H$33=2,SUM(I48:I72),IF($H$33=3,SUM(I36:I72),IF($H$33=4,SUM(I25:I72),"more than 4 years")))))</f>
        <v>0</v>
      </c>
      <c r="K72" s="66" t="str">
        <f t="shared" si="1"/>
        <v>ok</v>
      </c>
      <c r="L72" s="66">
        <f>IF(J72=1,IF(J73=0,IF(DAY(Simulation!$C$11)=1,0,DAY(Simulation!$C$11)-1),0),0)</f>
        <v>0</v>
      </c>
      <c r="M72" s="63">
        <f>IF(AND(J71=1,J72=1,J73=0,DAY(Simulation!$C$11)=1),0,IF(J72=1,IF(L72&lt;&gt;0,L72,C72),0))</f>
        <v>0</v>
      </c>
      <c r="N72" s="67">
        <f t="shared" si="2"/>
        <v>0</v>
      </c>
      <c r="O72" s="68">
        <f>IF($E$33=5,(($B$25*$B$11)/365)*$C72*$E$33*$F72*Simulation!$C$10,((($B$25*$B$11)/365)*$M72*Simulation!$C$10)+(($B$25*$B$11)/365)*$N72*$F72*Simulation!$C$10)</f>
        <v>0</v>
      </c>
      <c r="P72" s="69">
        <f>IF($E$33=5,(($B$26*$B$12)/365)*$C72*$E$33*$F72*Simulation!$C$10,((($B$26*$B$12)/365)*$M72*Simulation!$C$10)+(($B$26*$B$12)/365)*$N72*$F72*Simulation!$C$10)</f>
        <v>0</v>
      </c>
      <c r="Q72" s="107">
        <f>IF($E$33=5,($E$20/365)*$C72*$E$33*$F72*Simulation!$C$10,(($E$20/365)*$M72*Simulation!$C$10)+($E$20/365)*$N72*$F72*Simulation!$C$10)</f>
        <v>0</v>
      </c>
      <c r="R72" s="107" t="e">
        <f>IF($E$33=5,($E$21*#REF!/365)*$C72*$E$33*$F72*Simulation!$C$10,(($E$21*#REF!/365)*$M72*Simulation!$C$10)+($E$21*#REF!/365)*$N72*$F72*Simulation!$C$10)</f>
        <v>#REF!</v>
      </c>
    </row>
    <row r="73" spans="1:18" s="25" customFormat="1" ht="15" x14ac:dyDescent="0.25">
      <c r="A73" s="60">
        <v>44317</v>
      </c>
      <c r="B73" s="61">
        <v>44317</v>
      </c>
      <c r="C73" s="62">
        <f>MAX(0,MIN(EOMONTH(B73,0),Simulation!$C$12)-MAX(B73,Simulation!$C$11)+1)</f>
        <v>0</v>
      </c>
      <c r="D73" s="182"/>
      <c r="E73" s="184"/>
      <c r="F73" s="143">
        <v>1</v>
      </c>
      <c r="G73" s="63">
        <f t="shared" si="0"/>
        <v>31</v>
      </c>
      <c r="H73" s="186"/>
      <c r="I73" s="64">
        <f>IF(Simulation!$C$12&gt;=$B$108,IF(AND(YEAR(Simulation!$C$11)=YEAR(A73),MONTH(A73)=MONTH(Simulation!$C$11)),1,0),0)</f>
        <v>0</v>
      </c>
      <c r="J73" s="65">
        <f>IF($H$33=0,0,IF($H$33=1,SUM(I61:I73),IF($H$33=2,SUM(I49:I73),IF($H$33=3,SUM(I37:I73),IF($H$33=4,SUM(I27:I73),"more than 4 years")))))</f>
        <v>0</v>
      </c>
      <c r="K73" s="66" t="str">
        <f t="shared" si="1"/>
        <v>ok</v>
      </c>
      <c r="L73" s="66">
        <f>IF(J73=1,IF(J74=0,IF(DAY(Simulation!$C$11)=1,0,DAY(Simulation!$C$11)-1),0),0)</f>
        <v>0</v>
      </c>
      <c r="M73" s="63">
        <f>IF(AND(J72=1,J73=1,J74=0,DAY(Simulation!$C$11)=1),0,IF(J73=1,IF(L73&lt;&gt;0,L73,C73),0))</f>
        <v>0</v>
      </c>
      <c r="N73" s="67">
        <f t="shared" si="2"/>
        <v>0</v>
      </c>
      <c r="O73" s="68">
        <f>IF($E$33=5,(($B$25*$B$11)/365)*$C73*$E$33*$F73*Simulation!$C$10,((($B$25*$B$11)/365)*$M73*Simulation!$C$10)+(($B$25*$B$11)/365)*$N73*$F73*Simulation!$C$10)</f>
        <v>0</v>
      </c>
      <c r="P73" s="69">
        <f>IF($E$33=5,(($B$26*$B$12)/365)*$C73*$E$33*$F73*Simulation!$C$10,((($B$26*$B$12)/365)*$M73*Simulation!$C$10)+(($B$26*$B$12)/365)*$N73*$F73*Simulation!$C$10)</f>
        <v>0</v>
      </c>
      <c r="Q73" s="107">
        <f>IF($E$33=5,($E$20/365)*$C73*$E$33*$F73*Simulation!$C$10,(($E$20/365)*$M73*Simulation!$C$10)+($E$20/365)*$N73*$F73*Simulation!$C$10)</f>
        <v>0</v>
      </c>
      <c r="R73" s="107" t="e">
        <f>IF($E$33=5,($E$21*#REF!/365)*$C73*$E$33*$F73*Simulation!$C$10,(($E$21*#REF!/365)*$M73*Simulation!$C$10)+($E$21*#REF!/365)*$N73*$F73*Simulation!$C$10)</f>
        <v>#REF!</v>
      </c>
    </row>
    <row r="74" spans="1:18" s="25" customFormat="1" ht="15" x14ac:dyDescent="0.25">
      <c r="A74" s="60">
        <v>44348</v>
      </c>
      <c r="B74" s="61">
        <v>44348</v>
      </c>
      <c r="C74" s="62">
        <f>MAX(0,MIN(EOMONTH(B74,0),Simulation!$C$12)-MAX(B74,Simulation!$C$11)+1)</f>
        <v>0</v>
      </c>
      <c r="D74" s="182"/>
      <c r="E74" s="184"/>
      <c r="F74" s="143">
        <v>1</v>
      </c>
      <c r="G74" s="63">
        <f t="shared" si="0"/>
        <v>30</v>
      </c>
      <c r="H74" s="186"/>
      <c r="I74" s="64">
        <f>IF(Simulation!$C$12&gt;=$B$108,IF(AND(YEAR(Simulation!$C$11)=YEAR(A74),MONTH(A74)=MONTH(Simulation!$C$11)),1,0),0)</f>
        <v>0</v>
      </c>
      <c r="J74" s="65">
        <f>IF($H$33=0,0,IF($H$33=1,SUM(I62:I74),IF($H$33=2,SUM(I50:I74),IF($H$33=3,SUM(I38:I74),IF($H$33=4,SUM(I27:I74),"more than 4 years")))))</f>
        <v>0</v>
      </c>
      <c r="K74" s="66" t="str">
        <f t="shared" si="1"/>
        <v>ok</v>
      </c>
      <c r="L74" s="66">
        <f>IF(J74=1,IF(J75=0,IF(DAY(Simulation!$C$11)=1,0,DAY(Simulation!$C$11)-1),0),0)</f>
        <v>0</v>
      </c>
      <c r="M74" s="63">
        <f>IF(AND(J73=1,J74=1,J75=0,DAY(Simulation!$C$11)=1),0,IF(J74=1,IF(L74&lt;&gt;0,L74,C74),0))</f>
        <v>0</v>
      </c>
      <c r="N74" s="67">
        <f t="shared" si="2"/>
        <v>0</v>
      </c>
      <c r="O74" s="68">
        <f>IF($E$33=5,(($B$25*$B$11)/365)*$C74*$E$33*$F74*Simulation!$C$10,((($B$25*$B$11)/365)*$M74*Simulation!$C$10)+(($B$25*$B$11)/365)*$N74*$F74*Simulation!$C$10)</f>
        <v>0</v>
      </c>
      <c r="P74" s="69">
        <f>IF($E$33=5,(($B$26*$B$12)/365)*$C74*$E$33*$F74*Simulation!$C$10,((($B$26*$B$12)/365)*$M74*Simulation!$C$10)+(($B$26*$B$12)/365)*$N74*$F74*Simulation!$C$10)</f>
        <v>0</v>
      </c>
      <c r="Q74" s="107">
        <f>IF($E$33=5,($E$20/365)*$C74*$E$33*$F74*Simulation!$C$10,(($E$20/365)*$M74*Simulation!$C$10)+($E$20/365)*$N74*$F74*Simulation!$C$10)</f>
        <v>0</v>
      </c>
      <c r="R74" s="107" t="e">
        <f>IF($E$33=5,($E$21*#REF!/365)*$C74*$E$33*$F74*Simulation!$C$10,(($E$21*#REF!/365)*$M74*Simulation!$C$10)+($E$21*#REF!/365)*$N74*$F74*Simulation!$C$10)</f>
        <v>#REF!</v>
      </c>
    </row>
    <row r="75" spans="1:18" s="25" customFormat="1" ht="15" x14ac:dyDescent="0.25">
      <c r="A75" s="60">
        <v>44378</v>
      </c>
      <c r="B75" s="61">
        <v>44378</v>
      </c>
      <c r="C75" s="62">
        <f>MAX(0,MIN(EOMONTH(B75,0),Simulation!$C$12)-MAX(B75,Simulation!$C$11)+1)</f>
        <v>0</v>
      </c>
      <c r="D75" s="182"/>
      <c r="E75" s="184"/>
      <c r="F75" s="143">
        <v>1</v>
      </c>
      <c r="G75" s="63">
        <f t="shared" si="0"/>
        <v>31</v>
      </c>
      <c r="H75" s="186"/>
      <c r="I75" s="64">
        <f>IF(Simulation!$C$12&gt;=$B$108,IF(AND(YEAR(Simulation!$C$11)=YEAR(A75),MONTH(A75)=MONTH(Simulation!$C$11)),1,0),0)</f>
        <v>0</v>
      </c>
      <c r="J75" s="65">
        <f t="shared" ref="J75:J104" si="3">IF($H$33=0,0,IF($H$33=1,SUM(I63:I75),IF($H$33=2,SUM(I51:I75),IF($H$33=3,SUM(I39:I75),IF($H$33=4,SUM(I27:I75),"more than 4 years")))))</f>
        <v>0</v>
      </c>
      <c r="K75" s="66" t="str">
        <f t="shared" si="1"/>
        <v>ok</v>
      </c>
      <c r="L75" s="66">
        <f>IF(J75=1,IF(J76=0,IF(DAY(Simulation!$C$11)=1,0,DAY(Simulation!$C$11)-1),0),0)</f>
        <v>0</v>
      </c>
      <c r="M75" s="63">
        <f>IF(AND(J74=1,J75=1,J76=0,DAY(Simulation!$C$11)=1),0,IF(J75=1,IF(L75&lt;&gt;0,L75,C75),0))</f>
        <v>0</v>
      </c>
      <c r="N75" s="67">
        <f t="shared" si="2"/>
        <v>0</v>
      </c>
      <c r="O75" s="68">
        <f>IF($E$33=5,(($B$25*$B$11)/365)*$C75*$E$33*$F75*Simulation!$C$10,((($B$25*$B$11)/365)*$M75*Simulation!$C$10)+(($B$25*$B$11)/365)*$N75*$F75*Simulation!$C$10)</f>
        <v>0</v>
      </c>
      <c r="P75" s="69">
        <f>IF($E$33=5,(($B$26*$B$12)/365)*$C75*$E$33*$F75*Simulation!$C$10,((($B$26*$B$12)/365)*$M75*Simulation!$C$10)+(($B$26*$B$12)/365)*$N75*$F75*Simulation!$C$10)</f>
        <v>0</v>
      </c>
      <c r="Q75" s="107">
        <f>IF($E$33=5,($E$20/365)*$C75*$E$33*$F75*Simulation!$C$10,(($E$20/365)*$M75*Simulation!$C$10)+($E$20/365)*$N75*$F75*Simulation!$C$10)</f>
        <v>0</v>
      </c>
      <c r="R75" s="107" t="e">
        <f>IF($E$33=5,($E$21*#REF!/365)*$C75*$E$33*$F75*Simulation!$C$10,(($E$21*#REF!/365)*$M75*Simulation!$C$10)+($E$21*#REF!/365)*$N75*$F75*Simulation!$C$10)</f>
        <v>#REF!</v>
      </c>
    </row>
    <row r="76" spans="1:18" s="25" customFormat="1" ht="15" x14ac:dyDescent="0.25">
      <c r="A76" s="60">
        <v>44409</v>
      </c>
      <c r="B76" s="61">
        <v>44409</v>
      </c>
      <c r="C76" s="62">
        <f>MAX(0,MIN(EOMONTH(B76,0),Simulation!$C$12)-MAX(B76,Simulation!$C$11)+1)</f>
        <v>0</v>
      </c>
      <c r="D76" s="182"/>
      <c r="E76" s="184"/>
      <c r="F76" s="143">
        <v>1</v>
      </c>
      <c r="G76" s="63">
        <f t="shared" si="0"/>
        <v>31</v>
      </c>
      <c r="H76" s="186"/>
      <c r="I76" s="64">
        <f>IF(Simulation!$C$12&gt;=$B$108,IF(AND(YEAR(Simulation!$C$11)=YEAR(A76),MONTH(A76)=MONTH(Simulation!$C$11)),1,0),0)</f>
        <v>0</v>
      </c>
      <c r="J76" s="65">
        <f t="shared" si="3"/>
        <v>0</v>
      </c>
      <c r="K76" s="66" t="str">
        <f t="shared" si="1"/>
        <v>ok</v>
      </c>
      <c r="L76" s="66">
        <f>IF(J76=1,IF(J77=0,IF(DAY(Simulation!$C$11)=1,0,DAY(Simulation!$C$11)-1),0),0)</f>
        <v>0</v>
      </c>
      <c r="M76" s="63">
        <f>IF(AND(J75=1,J76=1,J77=0,DAY(Simulation!$C$11)=1),0,IF(J76=1,IF(L76&lt;&gt;0,L76,C76),0))</f>
        <v>0</v>
      </c>
      <c r="N76" s="67">
        <f t="shared" si="2"/>
        <v>0</v>
      </c>
      <c r="O76" s="68">
        <f>IF($E$33=5,(($B$25*$B$11)/365)*$C76*$E$33*$F76*Simulation!$C$10,((($B$25*$B$11)/365)*$M76*Simulation!$C$10)+(($B$25*$B$11)/365)*$N76*$F76*Simulation!$C$10)</f>
        <v>0</v>
      </c>
      <c r="P76" s="69">
        <f>IF($E$33=5,(($B$26*$B$12)/365)*$C76*$E$33*$F76*Simulation!$C$10,((($B$26*$B$12)/365)*$M76*Simulation!$C$10)+(($B$26*$B$12)/365)*$N76*$F76*Simulation!$C$10)</f>
        <v>0</v>
      </c>
      <c r="Q76" s="107">
        <f>IF($E$33=5,($E$20/365)*$C76*$E$33*$F76*Simulation!$C$10,(($E$20/365)*$M76*Simulation!$C$10)+($E$20/365)*$N76*$F76*Simulation!$C$10)</f>
        <v>0</v>
      </c>
      <c r="R76" s="107" t="e">
        <f>IF($E$33=5,($E$21*#REF!/365)*$C76*$E$33*$F76*Simulation!$C$10,(($E$21*#REF!/365)*$M76*Simulation!$C$10)+($E$21*#REF!/365)*$N76*$F76*Simulation!$C$10)</f>
        <v>#REF!</v>
      </c>
    </row>
    <row r="77" spans="1:18" s="25" customFormat="1" ht="15" x14ac:dyDescent="0.25">
      <c r="A77" s="60">
        <v>44440</v>
      </c>
      <c r="B77" s="61">
        <v>44440</v>
      </c>
      <c r="C77" s="62">
        <f>MAX(0,MIN(EOMONTH(B77,0),Simulation!$C$12)-MAX(B77,Simulation!$C$11)+1)</f>
        <v>0</v>
      </c>
      <c r="D77" s="182"/>
      <c r="E77" s="184"/>
      <c r="F77" s="143">
        <v>1</v>
      </c>
      <c r="G77" s="63">
        <f t="shared" si="0"/>
        <v>30</v>
      </c>
      <c r="H77" s="186"/>
      <c r="I77" s="64">
        <f>IF(Simulation!$C$12&gt;=$B$108,IF(AND(YEAR(Simulation!$C$11)=YEAR(A77),MONTH(A77)=MONTH(Simulation!$C$11)),1,0),0)</f>
        <v>0</v>
      </c>
      <c r="J77" s="65">
        <f t="shared" si="3"/>
        <v>0</v>
      </c>
      <c r="K77" s="66" t="str">
        <f t="shared" si="1"/>
        <v>ok</v>
      </c>
      <c r="L77" s="66">
        <f>IF(J77=1,IF(J78=0,IF(DAY(Simulation!$C$11)=1,0,DAY(Simulation!$C$11)-1),0),0)</f>
        <v>0</v>
      </c>
      <c r="M77" s="63">
        <f>IF(AND(J76=1,J77=1,J78=0,DAY(Simulation!$C$11)=1),0,IF(J77=1,IF(L77&lt;&gt;0,L77,C77),0))</f>
        <v>0</v>
      </c>
      <c r="N77" s="67">
        <f t="shared" si="2"/>
        <v>0</v>
      </c>
      <c r="O77" s="68">
        <f>IF($E$33=5,(($B$25*$B$11)/365)*$C77*$E$33*$F77*Simulation!$C$10,((($B$25*$B$11)/365)*$M77*Simulation!$C$10)+(($B$25*$B$11)/365)*$N77*$F77*Simulation!$C$10)</f>
        <v>0</v>
      </c>
      <c r="P77" s="69">
        <f>IF($E$33=5,(($B$26*$B$12)/365)*$C77*$E$33*$F77*Simulation!$C$10,((($B$26*$B$12)/365)*$M77*Simulation!$C$10)+(($B$26*$B$12)/365)*$N77*$F77*Simulation!$C$10)</f>
        <v>0</v>
      </c>
      <c r="Q77" s="107">
        <f>IF($E$33=5,($E$20/365)*$C77*$E$33*$F77*Simulation!$C$10,(($E$20/365)*$M77*Simulation!$C$10)+($E$20/365)*$N77*$F77*Simulation!$C$10)</f>
        <v>0</v>
      </c>
      <c r="R77" s="107" t="e">
        <f>IF($E$33=5,($E$21*#REF!/365)*$C77*$E$33*$F77*Simulation!$C$10,(($E$21*#REF!/365)*$M77*Simulation!$C$10)+($E$21*#REF!/365)*$N77*$F77*Simulation!$C$10)</f>
        <v>#REF!</v>
      </c>
    </row>
    <row r="78" spans="1:18" s="25" customFormat="1" ht="15" x14ac:dyDescent="0.25">
      <c r="A78" s="60">
        <v>44470</v>
      </c>
      <c r="B78" s="61">
        <v>44470</v>
      </c>
      <c r="C78" s="62">
        <f>MAX(0,MIN(EOMONTH(B78,0),Simulation!$C$12)-MAX(B78,Simulation!$C$11)+1)</f>
        <v>0</v>
      </c>
      <c r="D78" s="182"/>
      <c r="E78" s="184"/>
      <c r="F78" s="143">
        <v>1</v>
      </c>
      <c r="G78" s="63">
        <f t="shared" si="0"/>
        <v>31</v>
      </c>
      <c r="H78" s="186"/>
      <c r="I78" s="64">
        <f>IF(Simulation!$C$12&gt;=$B$108,IF(AND(YEAR(Simulation!$C$11)=YEAR(A78),MONTH(A78)=MONTH(Simulation!$C$11)),1,0),0)</f>
        <v>0</v>
      </c>
      <c r="J78" s="65">
        <f t="shared" si="3"/>
        <v>0</v>
      </c>
      <c r="K78" s="66" t="str">
        <f t="shared" si="1"/>
        <v>ok</v>
      </c>
      <c r="L78" s="66">
        <f>IF(J78=1,IF(J79=0,IF(DAY(Simulation!$C$11)=1,0,DAY(Simulation!$C$11)-1),0),0)</f>
        <v>0</v>
      </c>
      <c r="M78" s="63">
        <f>IF(AND(J77=1,J78=1,J79=0,DAY(Simulation!$C$11)=1),0,IF(J78=1,IF(L78&lt;&gt;0,L78,C78),0))</f>
        <v>0</v>
      </c>
      <c r="N78" s="67">
        <f t="shared" si="2"/>
        <v>0</v>
      </c>
      <c r="O78" s="68">
        <f>IF($E$33=5,(($B$25*$B$11)/365)*$C78*$E$33*$F78*Simulation!$C$10,((($B$25*$B$11)/365)*$M78*Simulation!$C$10)+(($B$25*$B$11)/365)*$N78*$F78*Simulation!$C$10)</f>
        <v>0</v>
      </c>
      <c r="P78" s="69">
        <f>IF($E$33=5,(($B$26*$B$12)/365)*$C78*$E$33*$F78*Simulation!$C$10,((($B$26*$B$12)/365)*$M78*Simulation!$C$10)+(($B$26*$B$12)/365)*$N78*$F78*Simulation!$C$10)</f>
        <v>0</v>
      </c>
      <c r="Q78" s="107">
        <f>IF($E$33=5,($E$20/365)*$C78*$E$33*$F78*Simulation!$C$10,(($E$20/365)*$M78*Simulation!$C$10)+($E$20/365)*$N78*$F78*Simulation!$C$10)</f>
        <v>0</v>
      </c>
      <c r="R78" s="107" t="e">
        <f>IF($E$33=5,($E$21*#REF!/365)*$C78*$E$33*$F78*Simulation!$C$10,(($E$21*#REF!/365)*$M78*Simulation!$C$10)+($E$21*#REF!/365)*$N78*$F78*Simulation!$C$10)</f>
        <v>#REF!</v>
      </c>
    </row>
    <row r="79" spans="1:18" s="25" customFormat="1" ht="15" x14ac:dyDescent="0.25">
      <c r="A79" s="60">
        <v>44501</v>
      </c>
      <c r="B79" s="61">
        <v>44501</v>
      </c>
      <c r="C79" s="62">
        <f>MAX(0,MIN(EOMONTH(B79,0),Simulation!$C$12)-MAX(B79,Simulation!$C$11)+1)</f>
        <v>0</v>
      </c>
      <c r="D79" s="182"/>
      <c r="E79" s="184"/>
      <c r="F79" s="143">
        <v>1</v>
      </c>
      <c r="G79" s="63">
        <f t="shared" si="0"/>
        <v>30</v>
      </c>
      <c r="H79" s="186"/>
      <c r="I79" s="64">
        <f>IF(Simulation!$C$12&gt;=$B$108,IF(AND(YEAR(Simulation!$C$11)=YEAR(A79),MONTH(A79)=MONTH(Simulation!$C$11)),1,0),0)</f>
        <v>0</v>
      </c>
      <c r="J79" s="65">
        <f t="shared" si="3"/>
        <v>0</v>
      </c>
      <c r="K79" s="66" t="str">
        <f t="shared" si="1"/>
        <v>ok</v>
      </c>
      <c r="L79" s="66">
        <f>IF(J79=1,IF(J80=0,IF(DAY(Simulation!$C$11)=1,0,DAY(Simulation!$C$11)-1),0),0)</f>
        <v>0</v>
      </c>
      <c r="M79" s="63">
        <f>IF(AND(J78=1,J79=1,J80=0,DAY(Simulation!$C$11)=1),0,IF(J79=1,IF(L79&lt;&gt;0,L79,C79),0))</f>
        <v>0</v>
      </c>
      <c r="N79" s="67">
        <f t="shared" si="2"/>
        <v>0</v>
      </c>
      <c r="O79" s="68">
        <f>IF($E$33=5,(($B$25*$B$11)/365)*$C79*$E$33*$F79*Simulation!$C$10,((($B$25*$B$11)/365)*$M79*Simulation!$C$10)+(($B$25*$B$11)/365)*$N79*$F79*Simulation!$C$10)</f>
        <v>0</v>
      </c>
      <c r="P79" s="69">
        <f>IF($E$33=5,(($B$26*$B$12)/365)*$C79*$E$33*$F79*Simulation!$C$10,((($B$26*$B$12)/365)*$M79*Simulation!$C$10)+(($B$26*$B$12)/365)*$N79*$F79*Simulation!$C$10)</f>
        <v>0</v>
      </c>
      <c r="Q79" s="107">
        <f>IF($E$33=5,($E$20/365)*$C79*$E$33*$F79*Simulation!$C$10,(($E$20/365)*$M79*Simulation!$C$10)+($E$20/365)*$N79*$F79*Simulation!$C$10)</f>
        <v>0</v>
      </c>
      <c r="R79" s="107" t="e">
        <f>IF($E$33=5,($E$21*#REF!/365)*$C79*$E$33*$F79*Simulation!$C$10,(($E$21*#REF!/365)*$M79*Simulation!$C$10)+($E$21*#REF!/365)*$N79*$F79*Simulation!$C$10)</f>
        <v>#REF!</v>
      </c>
    </row>
    <row r="80" spans="1:18" s="25" customFormat="1" ht="15" x14ac:dyDescent="0.25">
      <c r="A80" s="60">
        <v>44531</v>
      </c>
      <c r="B80" s="61">
        <v>44531</v>
      </c>
      <c r="C80" s="62">
        <f>MAX(0,MIN(EOMONTH(B80,0),Simulation!$C$12)-MAX(B80,Simulation!$C$11)+1)</f>
        <v>0</v>
      </c>
      <c r="D80" s="182"/>
      <c r="E80" s="184"/>
      <c r="F80" s="143">
        <v>1</v>
      </c>
      <c r="G80" s="63">
        <f t="shared" si="0"/>
        <v>31</v>
      </c>
      <c r="H80" s="186"/>
      <c r="I80" s="64">
        <f>IF(Simulation!$C$12&gt;=$B$108,IF(AND(YEAR(Simulation!$C$11)=YEAR(A80),MONTH(A80)=MONTH(Simulation!$C$11)),1,0),0)</f>
        <v>0</v>
      </c>
      <c r="J80" s="65">
        <f t="shared" si="3"/>
        <v>0</v>
      </c>
      <c r="K80" s="66" t="str">
        <f t="shared" si="1"/>
        <v>ok</v>
      </c>
      <c r="L80" s="66">
        <f>IF(J80=1,IF(J81=0,IF(DAY(Simulation!$C$11)=1,0,DAY(Simulation!$C$11)-1),0),0)</f>
        <v>0</v>
      </c>
      <c r="M80" s="63">
        <f>IF(AND(J79=1,J80=1,J81=0,DAY(Simulation!$C$11)=1),0,IF(J80=1,IF(L80&lt;&gt;0,L80,C80),0))</f>
        <v>0</v>
      </c>
      <c r="N80" s="67">
        <f t="shared" si="2"/>
        <v>0</v>
      </c>
      <c r="O80" s="68">
        <f>IF($E$33=5,(($B$25*$B$11)/365)*$C80*$E$33*$F80*Simulation!$C$10,((($B$25*$B$11)/365)*$M80*Simulation!$C$10)+(($B$25*$B$11)/365)*$N80*$F80*Simulation!$C$10)</f>
        <v>0</v>
      </c>
      <c r="P80" s="69">
        <f>IF($E$33=5,(($B$26*$B$12)/365)*$C80*$E$33*$F80*Simulation!$C$10,((($B$26*$B$12)/365)*$M80*Simulation!$C$10)+(($B$26*$B$12)/365)*$N80*$F80*Simulation!$C$10)</f>
        <v>0</v>
      </c>
      <c r="Q80" s="107">
        <f>IF($E$33=5,($E$20/365)*$C80*$E$33*$F80*Simulation!$C$10,(($E$20/365)*$M80*Simulation!$C$10)+($E$20/365)*$N80*$F80*Simulation!$C$10)</f>
        <v>0</v>
      </c>
      <c r="R80" s="107" t="e">
        <f>IF($E$33=5,($E$21*#REF!/365)*$C80*$E$33*$F80*Simulation!$C$10,(($E$21*#REF!/365)*$M80*Simulation!$C$10)+($E$21*#REF!/365)*$N80*$F80*Simulation!$C$10)</f>
        <v>#REF!</v>
      </c>
    </row>
    <row r="81" spans="1:18" s="25" customFormat="1" ht="15" x14ac:dyDescent="0.25">
      <c r="A81" s="60">
        <v>44562</v>
      </c>
      <c r="B81" s="61">
        <v>44562</v>
      </c>
      <c r="C81" s="62">
        <f>MAX(0,MIN(EOMONTH(B81,0),Simulation!$C$12)-MAX(B81,Simulation!$C$11)+1)</f>
        <v>0</v>
      </c>
      <c r="D81" s="182"/>
      <c r="E81" s="184"/>
      <c r="F81" s="143">
        <v>1</v>
      </c>
      <c r="G81" s="63">
        <f t="shared" si="0"/>
        <v>31</v>
      </c>
      <c r="H81" s="186"/>
      <c r="I81" s="64">
        <f>IF(Simulation!$C$12&gt;=$B$108,IF(AND(YEAR(Simulation!$C$11)=YEAR(A81),MONTH(A81)=MONTH(Simulation!$C$11)),1,0),0)</f>
        <v>0</v>
      </c>
      <c r="J81" s="65">
        <f t="shared" si="3"/>
        <v>0</v>
      </c>
      <c r="K81" s="66" t="str">
        <f t="shared" si="1"/>
        <v>ok</v>
      </c>
      <c r="L81" s="66">
        <f>IF(J81=1,IF(J82=0,IF(DAY(Simulation!$C$11)=1,0,DAY(Simulation!$C$11)-1),0),0)</f>
        <v>0</v>
      </c>
      <c r="M81" s="63">
        <f>IF(AND(J80=1,J81=1,J82=0,DAY(Simulation!$C$11)=1),0,IF(J81=1,IF(L81&lt;&gt;0,L81,C81),0))</f>
        <v>0</v>
      </c>
      <c r="N81" s="67">
        <f t="shared" si="2"/>
        <v>0</v>
      </c>
      <c r="O81" s="68">
        <f>IF($E$33=5,(($B$25*$B$11)/365)*$C81*$E$33*$F81*Simulation!$C$10,((($B$25*$B$11)/365)*$M81*Simulation!$C$10)+(($B$25*$B$11)/365)*$N81*$F81*Simulation!$C$10)</f>
        <v>0</v>
      </c>
      <c r="P81" s="69">
        <f>IF($E$33=5,(($B$26*$B$12)/365)*$C81*$E$33*$F81*Simulation!$C$10,((($B$26*$B$12)/365)*$M81*Simulation!$C$10)+(($B$26*$B$12)/365)*$N81*$F81*Simulation!$C$10)</f>
        <v>0</v>
      </c>
      <c r="Q81" s="107">
        <f>IF($E$33=5,($E$20/365)*$C81*$E$33*$F81*Simulation!$C$10,(($E$20/365)*$M81*Simulation!$C$10)+($E$20/365)*$N81*$F81*Simulation!$C$10)</f>
        <v>0</v>
      </c>
      <c r="R81" s="107" t="e">
        <f>IF($E$33=5,($E$21*#REF!/365)*$C81*$E$33*$F81*Simulation!$C$10,(($E$21*#REF!/365)*$M81*Simulation!$C$10)+($E$21*#REF!/365)*$N81*$F81*Simulation!$C$10)</f>
        <v>#REF!</v>
      </c>
    </row>
    <row r="82" spans="1:18" s="25" customFormat="1" ht="15" x14ac:dyDescent="0.25">
      <c r="A82" s="60">
        <v>44593</v>
      </c>
      <c r="B82" s="61">
        <v>44593</v>
      </c>
      <c r="C82" s="62">
        <f>MAX(0,MIN(EOMONTH(B82,0),Simulation!$C$12)-MAX(B82,Simulation!$C$11)+1)</f>
        <v>0</v>
      </c>
      <c r="D82" s="182"/>
      <c r="E82" s="184"/>
      <c r="F82" s="143">
        <v>1</v>
      </c>
      <c r="G82" s="63">
        <f t="shared" si="0"/>
        <v>28</v>
      </c>
      <c r="H82" s="186"/>
      <c r="I82" s="64">
        <f>IF(Simulation!$C$12&gt;=$B$108,IF(AND(YEAR(Simulation!$C$11)=YEAR(A82),MONTH(A82)=MONTH(Simulation!$C$11)),1,0),0)</f>
        <v>0</v>
      </c>
      <c r="J82" s="65">
        <f t="shared" si="3"/>
        <v>0</v>
      </c>
      <c r="K82" s="66" t="str">
        <f t="shared" si="1"/>
        <v>ok</v>
      </c>
      <c r="L82" s="66">
        <f>IF(J82=1,IF(J83=0,IF(DAY(Simulation!$C$11)=1,0,DAY(Simulation!$C$11)-1),0),0)</f>
        <v>0</v>
      </c>
      <c r="M82" s="63">
        <f>IF(AND(J81=1,J82=1,J83=0,DAY(Simulation!$C$11)=1),0,IF(J82=1,IF(L82&lt;&gt;0,L82,C82),0))</f>
        <v>0</v>
      </c>
      <c r="N82" s="67">
        <f t="shared" si="2"/>
        <v>0</v>
      </c>
      <c r="O82" s="68">
        <f>IF($E$33=5,(($B$25*$B$11)/365)*$C82*$E$33*$F82*Simulation!$C$10,((($B$25*$B$11)/365)*$M82*Simulation!$C$10)+(($B$25*$B$11)/365)*$N82*$F82*Simulation!$C$10)</f>
        <v>0</v>
      </c>
      <c r="P82" s="69">
        <f>IF($E$33=5,(($B$26*$B$12)/365)*$C82*$E$33*$F82*Simulation!$C$10,((($B$26*$B$12)/365)*$M82*Simulation!$C$10)+(($B$26*$B$12)/365)*$N82*$F82*Simulation!$C$10)</f>
        <v>0</v>
      </c>
      <c r="Q82" s="107">
        <f>IF($E$33=5,($E$20/365)*$C82*$E$33*$F82*Simulation!$C$10,(($E$20/365)*$M82*Simulation!$C$10)+($E$20/365)*$N82*$F82*Simulation!$C$10)</f>
        <v>0</v>
      </c>
      <c r="R82" s="107" t="e">
        <f>IF($E$33=5,($E$21*#REF!/365)*$C82*$E$33*$F82*Simulation!$C$10,(($E$21*#REF!/365)*$M82*Simulation!$C$10)+($E$21*#REF!/365)*$N82*$F82*Simulation!$C$10)</f>
        <v>#REF!</v>
      </c>
    </row>
    <row r="83" spans="1:18" s="25" customFormat="1" ht="15" x14ac:dyDescent="0.25">
      <c r="A83" s="60">
        <v>44621</v>
      </c>
      <c r="B83" s="61">
        <v>44621</v>
      </c>
      <c r="C83" s="62">
        <f>MAX(0,MIN(EOMONTH(B83,0),Simulation!$C$12)-MAX(B83,Simulation!$C$11)+1)</f>
        <v>0</v>
      </c>
      <c r="D83" s="182"/>
      <c r="E83" s="184"/>
      <c r="F83" s="143">
        <v>1</v>
      </c>
      <c r="G83" s="63">
        <f t="shared" si="0"/>
        <v>31</v>
      </c>
      <c r="H83" s="186"/>
      <c r="I83" s="64">
        <f>IF(Simulation!$C$12&gt;=$B$108,IF(AND(YEAR(Simulation!$C$11)=YEAR(A83),MONTH(A83)=MONTH(Simulation!$C$11)),1,0),0)</f>
        <v>0</v>
      </c>
      <c r="J83" s="65">
        <f t="shared" si="3"/>
        <v>0</v>
      </c>
      <c r="K83" s="66" t="str">
        <f t="shared" si="1"/>
        <v>ok</v>
      </c>
      <c r="L83" s="66">
        <f>IF(J83=1,IF(J84=0,IF(DAY(Simulation!$C$11)=1,0,DAY(Simulation!$C$11)-1),0),0)</f>
        <v>0</v>
      </c>
      <c r="M83" s="63">
        <f>IF(AND(J82=1,J83=1,J84=0,DAY(Simulation!$C$11)=1),0,IF(J83=1,IF(L83&lt;&gt;0,L83,C83),0))</f>
        <v>0</v>
      </c>
      <c r="N83" s="67">
        <f t="shared" si="2"/>
        <v>0</v>
      </c>
      <c r="O83" s="68">
        <f>IF($E$33=5,(($B$25*$B$11)/365)*$C83*$E$33*$F83*Simulation!$C$10,((($B$25*$B$11)/365)*$M83*Simulation!$C$10)+(($B$25*$B$11)/365)*$N83*$F83*Simulation!$C$10)</f>
        <v>0</v>
      </c>
      <c r="P83" s="69">
        <f>IF($E$33=5,(($B$26*$B$12)/365)*$C83*$E$33*$F83*Simulation!$C$10,((($B$26*$B$12)/365)*$M83*Simulation!$C$10)+(($B$26*$B$12)/365)*$N83*$F83*Simulation!$C$10)</f>
        <v>0</v>
      </c>
      <c r="Q83" s="107">
        <f>IF($E$33=5,($E$20/365)*$C83*$E$33*$F83*Simulation!$C$10,(($E$20/365)*$M83*Simulation!$C$10)+($E$20/365)*$N83*$F83*Simulation!$C$10)</f>
        <v>0</v>
      </c>
      <c r="R83" s="107" t="e">
        <f>IF($E$33=5,($E$21*#REF!/365)*$C83*$E$33*$F83*Simulation!$C$10,(($E$21*#REF!/365)*$M83*Simulation!$C$10)+($E$21*#REF!/365)*$N83*$F83*Simulation!$C$10)</f>
        <v>#REF!</v>
      </c>
    </row>
    <row r="84" spans="1:18" s="25" customFormat="1" ht="15" x14ac:dyDescent="0.25">
      <c r="A84" s="60">
        <v>44652</v>
      </c>
      <c r="B84" s="61">
        <v>44652</v>
      </c>
      <c r="C84" s="62">
        <f>MAX(0,MIN(EOMONTH(B84,0),Simulation!$C$12)-MAX(B84,Simulation!$C$11)+1)</f>
        <v>0</v>
      </c>
      <c r="D84" s="182"/>
      <c r="E84" s="184"/>
      <c r="F84" s="143">
        <v>1</v>
      </c>
      <c r="G84" s="63">
        <f t="shared" si="0"/>
        <v>30</v>
      </c>
      <c r="H84" s="186"/>
      <c r="I84" s="64">
        <f>IF(Simulation!$C$12&gt;=$B$108,IF(AND(YEAR(Simulation!$C$11)=YEAR(A84),MONTH(A84)=MONTH(Simulation!$C$11)),1,0),0)</f>
        <v>0</v>
      </c>
      <c r="J84" s="65">
        <f t="shared" si="3"/>
        <v>0</v>
      </c>
      <c r="K84" s="66" t="str">
        <f t="shared" si="1"/>
        <v>ok</v>
      </c>
      <c r="L84" s="66">
        <f>IF(J84=1,IF(J85=0,IF(DAY(Simulation!$C$11)=1,0,DAY(Simulation!$C$11)-1),0),0)</f>
        <v>0</v>
      </c>
      <c r="M84" s="63">
        <f>IF(AND(J83=1,J84=1,J85=0,DAY(Simulation!$C$11)=1),0,IF(J84=1,IF(L84&lt;&gt;0,L84,C84),0))</f>
        <v>0</v>
      </c>
      <c r="N84" s="67">
        <f t="shared" si="2"/>
        <v>0</v>
      </c>
      <c r="O84" s="68">
        <f>IF($E$33=5,(($B$25*$B$11)/365)*$C84*$E$33*$F84*Simulation!$C$10,((($B$25*$B$11)/365)*$M84*Simulation!$C$10)+(($B$25*$B$11)/365)*$N84*$F84*Simulation!$C$10)</f>
        <v>0</v>
      </c>
      <c r="P84" s="69">
        <f>IF($E$33=5,(($B$26*$B$12)/365)*$C84*$E$33*$F84*Simulation!$C$10,((($B$26*$B$12)/365)*$M84*Simulation!$C$10)+(($B$26*$B$12)/365)*$N84*$F84*Simulation!$C$10)</f>
        <v>0</v>
      </c>
      <c r="Q84" s="107">
        <f>IF($E$33=5,($E$20/365)*$C84*$E$33*$F84*Simulation!$C$10,(($E$20/365)*$M84*Simulation!$C$10)+($E$20/365)*$N84*$F84*Simulation!$C$10)</f>
        <v>0</v>
      </c>
      <c r="R84" s="107" t="e">
        <f>IF($E$33=5,($E$21*#REF!/365)*$C84*$E$33*$F84*Simulation!$C$10,(($E$21*#REF!/365)*$M84*Simulation!$C$10)+($E$21*#REF!/365)*$N84*$F84*Simulation!$C$10)</f>
        <v>#REF!</v>
      </c>
    </row>
    <row r="85" spans="1:18" s="25" customFormat="1" ht="15" x14ac:dyDescent="0.25">
      <c r="A85" s="60">
        <v>44682</v>
      </c>
      <c r="B85" s="61">
        <v>44682</v>
      </c>
      <c r="C85" s="62">
        <f>MAX(0,MIN(EOMONTH(B85,0),Simulation!$C$12)-MAX(B85,Simulation!$C$11)+1)</f>
        <v>0</v>
      </c>
      <c r="D85" s="182"/>
      <c r="E85" s="184"/>
      <c r="F85" s="143">
        <v>1</v>
      </c>
      <c r="G85" s="63">
        <f t="shared" si="0"/>
        <v>31</v>
      </c>
      <c r="H85" s="186"/>
      <c r="I85" s="64">
        <f>IF(Simulation!$C$12&gt;=$B$108,IF(AND(YEAR(Simulation!$C$11)=YEAR(A85),MONTH(A85)=MONTH(Simulation!$C$11)),1,0),0)</f>
        <v>0</v>
      </c>
      <c r="J85" s="65">
        <f t="shared" si="3"/>
        <v>0</v>
      </c>
      <c r="K85" s="66" t="str">
        <f t="shared" si="1"/>
        <v>ok</v>
      </c>
      <c r="L85" s="66">
        <f>IF(J85=1,IF(J86=0,IF(DAY(Simulation!$C$11)=1,0,DAY(Simulation!$C$11)-1),0),0)</f>
        <v>0</v>
      </c>
      <c r="M85" s="63">
        <f>IF(AND(J84=1,J85=1,J86=0,DAY(Simulation!$C$11)=1),0,IF(J85=1,IF(L85&lt;&gt;0,L85,C85),0))</f>
        <v>0</v>
      </c>
      <c r="N85" s="67">
        <f t="shared" si="2"/>
        <v>0</v>
      </c>
      <c r="O85" s="68">
        <f>IF($E$33=5,(($B$25*$B$11)/365)*$C85*$E$33*$F85*Simulation!$C$10,((($B$25*$B$11)/365)*$M85*Simulation!$C$10)+(($B$25*$B$11)/365)*$N85*$F85*Simulation!$C$10)</f>
        <v>0</v>
      </c>
      <c r="P85" s="69">
        <f>IF($E$33=5,(($B$26*$B$12)/365)*$C85*$E$33*$F85*Simulation!$C$10,((($B$26*$B$12)/365)*$M85*Simulation!$C$10)+(($B$26*$B$12)/365)*$N85*$F85*Simulation!$C$10)</f>
        <v>0</v>
      </c>
      <c r="Q85" s="107">
        <f>IF($E$33=5,($E$20/365)*$C85*$E$33*$F85*Simulation!$C$10,(($E$20/365)*$M85*Simulation!$C$10)+($E$20/365)*$N85*$F85*Simulation!$C$10)</f>
        <v>0</v>
      </c>
      <c r="R85" s="107" t="e">
        <f>IF($E$33=5,($E$21*#REF!/365)*$C85*$E$33*$F85*Simulation!$C$10,(($E$21*#REF!/365)*$M85*Simulation!$C$10)+($E$21*#REF!/365)*$N85*$F85*Simulation!$C$10)</f>
        <v>#REF!</v>
      </c>
    </row>
    <row r="86" spans="1:18" s="25" customFormat="1" ht="15" x14ac:dyDescent="0.25">
      <c r="A86" s="60">
        <v>44713</v>
      </c>
      <c r="B86" s="61">
        <v>44713</v>
      </c>
      <c r="C86" s="62">
        <f>MAX(0,MIN(EOMONTH(B86,0),Simulation!$C$12)-MAX(B86,Simulation!$C$11)+1)</f>
        <v>0</v>
      </c>
      <c r="D86" s="182"/>
      <c r="E86" s="184"/>
      <c r="F86" s="143">
        <v>1</v>
      </c>
      <c r="G86" s="63">
        <f t="shared" si="0"/>
        <v>30</v>
      </c>
      <c r="H86" s="186"/>
      <c r="I86" s="64">
        <f>IF(Simulation!$C$12&gt;=$B$108,IF(AND(YEAR(Simulation!$C$11)=YEAR(A86),MONTH(A86)=MONTH(Simulation!$C$11)),1,0),0)</f>
        <v>0</v>
      </c>
      <c r="J86" s="65">
        <f t="shared" si="3"/>
        <v>0</v>
      </c>
      <c r="K86" s="66" t="str">
        <f t="shared" si="1"/>
        <v>ok</v>
      </c>
      <c r="L86" s="66">
        <f>IF(J86=1,IF(J87=0,IF(DAY(Simulation!$C$11)=1,0,DAY(Simulation!$C$11)-1),0),0)</f>
        <v>0</v>
      </c>
      <c r="M86" s="63">
        <f>IF(AND(J85=1,J86=1,J87=0,DAY(Simulation!$C$11)=1),0,IF(J86=1,IF(L86&lt;&gt;0,L86,C86),0))</f>
        <v>0</v>
      </c>
      <c r="N86" s="67">
        <f t="shared" si="2"/>
        <v>0</v>
      </c>
      <c r="O86" s="68">
        <f>IF($E$33=5,(($B$25*$B$11)/365)*$C86*$E$33*$F86*Simulation!$C$10,((($B$25*$B$11)/365)*$M86*Simulation!$C$10)+(($B$25*$B$11)/365)*$N86*$F86*Simulation!$C$10)</f>
        <v>0</v>
      </c>
      <c r="P86" s="69">
        <f>IF($E$33=5,(($B$26*$B$12)/365)*$C86*$E$33*$F86*Simulation!$C$10,((($B$26*$B$12)/365)*$M86*Simulation!$C$10)+(($B$26*$B$12)/365)*$N86*$F86*Simulation!$C$10)</f>
        <v>0</v>
      </c>
      <c r="Q86" s="107">
        <f>IF($E$33=5,($E$20/365)*$C86*$E$33*$F86*Simulation!$C$10,(($E$20/365)*$M86*Simulation!$C$10)+($E$20/365)*$N86*$F86*Simulation!$C$10)</f>
        <v>0</v>
      </c>
      <c r="R86" s="107" t="e">
        <f>IF($E$33=5,($E$21*#REF!/365)*$C86*$E$33*$F86*Simulation!$C$10,(($E$21*#REF!/365)*$M86*Simulation!$C$10)+($E$21*#REF!/365)*$N86*$F86*Simulation!$C$10)</f>
        <v>#REF!</v>
      </c>
    </row>
    <row r="87" spans="1:18" s="25" customFormat="1" ht="15" x14ac:dyDescent="0.25">
      <c r="A87" s="60">
        <v>44743</v>
      </c>
      <c r="B87" s="61">
        <v>44743</v>
      </c>
      <c r="C87" s="62">
        <f>MAX(0,MIN(EOMONTH(B87,0),Simulation!$C$12)-MAX(B87,Simulation!$C$11)+1)</f>
        <v>0</v>
      </c>
      <c r="D87" s="182"/>
      <c r="E87" s="184"/>
      <c r="F87" s="143">
        <v>1</v>
      </c>
      <c r="G87" s="63">
        <f t="shared" si="0"/>
        <v>31</v>
      </c>
      <c r="H87" s="186"/>
      <c r="I87" s="64">
        <f>IF(Simulation!$C$12&gt;=$B$108,IF(AND(YEAR(Simulation!$C$11)=YEAR(A87),MONTH(A87)=MONTH(Simulation!$C$11)),1,0),0)</f>
        <v>0</v>
      </c>
      <c r="J87" s="65">
        <f t="shared" si="3"/>
        <v>0</v>
      </c>
      <c r="K87" s="66" t="str">
        <f t="shared" si="1"/>
        <v>ok</v>
      </c>
      <c r="L87" s="66">
        <f>IF(J87=1,IF(J88=0,IF(DAY(Simulation!$C$11)=1,0,DAY(Simulation!$C$11)-1),0),0)</f>
        <v>0</v>
      </c>
      <c r="M87" s="63">
        <f>IF(AND(J86=1,J87=1,J88=0,DAY(Simulation!$C$11)=1),0,IF(J87=1,IF(L87&lt;&gt;0,L87,C87),0))</f>
        <v>0</v>
      </c>
      <c r="N87" s="67">
        <f t="shared" si="2"/>
        <v>0</v>
      </c>
      <c r="O87" s="68">
        <f>IF($E$33=5,(($B$25*$B$11)/365)*$C87*$E$33*$F87*Simulation!$C$10,((($B$25*$B$11)/365)*$M87*Simulation!$C$10)+(($B$25*$B$11)/365)*$N87*$F87*Simulation!$C$10)</f>
        <v>0</v>
      </c>
      <c r="P87" s="69">
        <f>IF($E$33=5,(($B$26*$B$12)/365)*$C87*$E$33*$F87*Simulation!$C$10,((($B$26*$B$12)/365)*$M87*Simulation!$C$10)+(($B$26*$B$12)/365)*$N87*$F87*Simulation!$C$10)</f>
        <v>0</v>
      </c>
      <c r="Q87" s="107">
        <f>IF($E$33=5,($E$20/365)*$C87*$E$33*$F87*Simulation!$C$10,(($E$20/365)*$M87*Simulation!$C$10)+($E$20/365)*$N87*$F87*Simulation!$C$10)</f>
        <v>0</v>
      </c>
      <c r="R87" s="107" t="e">
        <f>IF($E$33=5,($E$21*#REF!/365)*$C87*$E$33*$F87*Simulation!$C$10,(($E$21*#REF!/365)*$M87*Simulation!$C$10)+($E$21*#REF!/365)*$N87*$F87*Simulation!$C$10)</f>
        <v>#REF!</v>
      </c>
    </row>
    <row r="88" spans="1:18" s="25" customFormat="1" ht="15" x14ac:dyDescent="0.25">
      <c r="A88" s="60">
        <v>44774</v>
      </c>
      <c r="B88" s="61">
        <v>44774</v>
      </c>
      <c r="C88" s="62">
        <f>MAX(0,MIN(EOMONTH(B88,0),Simulation!$C$12)-MAX(B88,Simulation!$C$11)+1)</f>
        <v>0</v>
      </c>
      <c r="D88" s="182"/>
      <c r="E88" s="184"/>
      <c r="F88" s="143">
        <v>1</v>
      </c>
      <c r="G88" s="63">
        <f t="shared" si="0"/>
        <v>31</v>
      </c>
      <c r="H88" s="186"/>
      <c r="I88" s="64">
        <f>IF(Simulation!$C$12&gt;=$B$108,IF(AND(YEAR(Simulation!$C$11)=YEAR(A88),MONTH(A88)=MONTH(Simulation!$C$11)),1,0),0)</f>
        <v>0</v>
      </c>
      <c r="J88" s="65">
        <f t="shared" si="3"/>
        <v>0</v>
      </c>
      <c r="K88" s="66" t="str">
        <f t="shared" si="1"/>
        <v>ok</v>
      </c>
      <c r="L88" s="66">
        <f>IF(J88=1,IF(J89=0,IF(DAY(Simulation!$C$11)=1,0,DAY(Simulation!$C$11)-1),0),0)</f>
        <v>0</v>
      </c>
      <c r="M88" s="63">
        <f>IF(AND(J87=1,J88=1,J89=0,DAY(Simulation!$C$11)=1),0,IF(J88=1,IF(L88&lt;&gt;0,L88,C88),0))</f>
        <v>0</v>
      </c>
      <c r="N88" s="67">
        <f t="shared" si="2"/>
        <v>0</v>
      </c>
      <c r="O88" s="68">
        <f>IF($E$33=5,(($B$25*$B$11)/365)*$C88*$E$33*$F88*Simulation!$C$10,((($B$25*$B$11)/365)*$M88*Simulation!$C$10)+(($B$25*$B$11)/365)*$N88*$F88*Simulation!$C$10)</f>
        <v>0</v>
      </c>
      <c r="P88" s="69">
        <f>IF($E$33=5,(($B$26*$B$12)/365)*$C88*$E$33*$F88*Simulation!$C$10,((($B$26*$B$12)/365)*$M88*Simulation!$C$10)+(($B$26*$B$12)/365)*$N88*$F88*Simulation!$C$10)</f>
        <v>0</v>
      </c>
      <c r="Q88" s="107">
        <f>IF($E$33=5,($E$20/365)*$C88*$E$33*$F88*Simulation!$C$10,(($E$20/365)*$M88*Simulation!$C$10)+($E$20/365)*$N88*$F88*Simulation!$C$10)</f>
        <v>0</v>
      </c>
      <c r="R88" s="107" t="e">
        <f>IF($E$33=5,($E$21*#REF!/365)*$C88*$E$33*$F88*Simulation!$C$10,(($E$21*#REF!/365)*$M88*Simulation!$C$10)+($E$21*#REF!/365)*$N88*$F88*Simulation!$C$10)</f>
        <v>#REF!</v>
      </c>
    </row>
    <row r="89" spans="1:18" s="25" customFormat="1" ht="15" x14ac:dyDescent="0.25">
      <c r="A89" s="60">
        <v>44805</v>
      </c>
      <c r="B89" s="61">
        <v>44805</v>
      </c>
      <c r="C89" s="62">
        <f>MAX(0,MIN(EOMONTH(B89,0),Simulation!$C$12)-MAX(B89,Simulation!$C$11)+1)</f>
        <v>0</v>
      </c>
      <c r="D89" s="182"/>
      <c r="E89" s="184"/>
      <c r="F89" s="143">
        <v>1</v>
      </c>
      <c r="G89" s="63">
        <f t="shared" si="0"/>
        <v>30</v>
      </c>
      <c r="H89" s="186"/>
      <c r="I89" s="64">
        <f>IF(Simulation!$C$12&gt;=$B$108,IF(AND(YEAR(Simulation!$C$11)=YEAR(A89),MONTH(A89)=MONTH(Simulation!$C$11)),1,0),0)</f>
        <v>0</v>
      </c>
      <c r="J89" s="65">
        <f t="shared" si="3"/>
        <v>0</v>
      </c>
      <c r="K89" s="66" t="str">
        <f t="shared" si="1"/>
        <v>ok</v>
      </c>
      <c r="L89" s="66">
        <f>IF(J89=1,IF(J90=0,IF(DAY(Simulation!$C$11)=1,0,DAY(Simulation!$C$11)-1),0),0)</f>
        <v>0</v>
      </c>
      <c r="M89" s="63">
        <f>IF(AND(J88=1,J89=1,J90=0,DAY(Simulation!$C$11)=1),0,IF(J89=1,IF(L89&lt;&gt;0,L89,C89),0))</f>
        <v>0</v>
      </c>
      <c r="N89" s="67">
        <f t="shared" si="2"/>
        <v>0</v>
      </c>
      <c r="O89" s="68">
        <f>IF($E$33=5,(($B$25*$B$11)/365)*$C89*$E$33*$F89*Simulation!$C$10,((($B$25*$B$11)/365)*$M89*Simulation!$C$10)+(($B$25*$B$11)/365)*$N89*$F89*Simulation!$C$10)</f>
        <v>0</v>
      </c>
      <c r="P89" s="69">
        <f>IF($E$33=5,(($B$26*$B$12)/365)*$C89*$E$33*$F89*Simulation!$C$10,((($B$26*$B$12)/365)*$M89*Simulation!$C$10)+(($B$26*$B$12)/365)*$N89*$F89*Simulation!$C$10)</f>
        <v>0</v>
      </c>
      <c r="Q89" s="107">
        <f>IF($E$33=5,($E$20/365)*$C89*$E$33*$F89*Simulation!$C$10,(($E$20/365)*$M89*Simulation!$C$10)+($E$20/365)*$N89*$F89*Simulation!$C$10)</f>
        <v>0</v>
      </c>
      <c r="R89" s="107" t="e">
        <f>IF($E$33=5,($E$21*#REF!/365)*$C89*$E$33*$F89*Simulation!$C$10,(($E$21*#REF!/365)*$M89*Simulation!$C$10)+($E$21*#REF!/365)*$N89*$F89*Simulation!$C$10)</f>
        <v>#REF!</v>
      </c>
    </row>
    <row r="90" spans="1:18" s="25" customFormat="1" ht="15" x14ac:dyDescent="0.25">
      <c r="A90" s="60">
        <v>44835</v>
      </c>
      <c r="B90" s="61">
        <v>44835</v>
      </c>
      <c r="C90" s="62">
        <f>MAX(0,MIN(EOMONTH(B90,0),Simulation!$C$12)-MAX(B90,Simulation!$C$11)+1)</f>
        <v>0</v>
      </c>
      <c r="D90" s="182"/>
      <c r="E90" s="184"/>
      <c r="F90" s="143">
        <v>1</v>
      </c>
      <c r="G90" s="63">
        <f t="shared" si="0"/>
        <v>31</v>
      </c>
      <c r="H90" s="186"/>
      <c r="I90" s="64">
        <f>IF(Simulation!$C$12&gt;=$B$108,IF(AND(YEAR(Simulation!$C$11)=YEAR(A90),MONTH(A90)=MONTH(Simulation!$C$11)),1,0),0)</f>
        <v>0</v>
      </c>
      <c r="J90" s="65">
        <f t="shared" si="3"/>
        <v>0</v>
      </c>
      <c r="K90" s="66" t="str">
        <f t="shared" si="1"/>
        <v>ok</v>
      </c>
      <c r="L90" s="66">
        <f>IF(J90=1,IF(J91=0,IF(DAY(Simulation!$C$11)=1,0,DAY(Simulation!$C$11)-1),0),0)</f>
        <v>0</v>
      </c>
      <c r="M90" s="63">
        <f>IF(AND(J89=1,J90=1,J91=0,DAY(Simulation!$C$11)=1),0,IF(J90=1,IF(L90&lt;&gt;0,L90,C90),0))</f>
        <v>0</v>
      </c>
      <c r="N90" s="67">
        <f t="shared" si="2"/>
        <v>0</v>
      </c>
      <c r="O90" s="68">
        <f>IF($E$33=5,(($B$25*$B$11)/365)*$C90*$E$33*$F90*Simulation!$C$10,((($B$25*$B$11)/365)*$M90*Simulation!$C$10)+(($B$25*$B$11)/365)*$N90*$F90*Simulation!$C$10)</f>
        <v>0</v>
      </c>
      <c r="P90" s="69">
        <f>IF($E$33=5,(($B$26*$B$12)/365)*$C90*$E$33*$F90*Simulation!$C$10,((($B$26*$B$12)/365)*$M90*Simulation!$C$10)+(($B$26*$B$12)/365)*$N90*$F90*Simulation!$C$10)</f>
        <v>0</v>
      </c>
      <c r="Q90" s="107">
        <f>IF($E$33=5,($E$20/365)*$C90*$E$33*$F90*Simulation!$C$10,(($E$20/365)*$M90*Simulation!$C$10)+($E$20/365)*$N90*$F90*Simulation!$C$10)</f>
        <v>0</v>
      </c>
      <c r="R90" s="107" t="e">
        <f>IF($E$33=5,($E$21*#REF!/365)*$C90*$E$33*$F90*Simulation!$C$10,(($E$21*#REF!/365)*$M90*Simulation!$C$10)+($E$21*#REF!/365)*$N90*$F90*Simulation!$C$10)</f>
        <v>#REF!</v>
      </c>
    </row>
    <row r="91" spans="1:18" s="25" customFormat="1" ht="15" x14ac:dyDescent="0.25">
      <c r="A91" s="60">
        <v>44866</v>
      </c>
      <c r="B91" s="61">
        <v>44866</v>
      </c>
      <c r="C91" s="62">
        <f>MAX(0,MIN(EOMONTH(B91,0),Simulation!$C$12)-MAX(B91,Simulation!$C$11)+1)</f>
        <v>0</v>
      </c>
      <c r="D91" s="182"/>
      <c r="E91" s="184"/>
      <c r="F91" s="143">
        <v>1</v>
      </c>
      <c r="G91" s="63">
        <f t="shared" si="0"/>
        <v>30</v>
      </c>
      <c r="H91" s="186"/>
      <c r="I91" s="64">
        <f>IF(Simulation!$C$12&gt;=$B$108,IF(AND(YEAR(Simulation!$C$11)=YEAR(A91),MONTH(A91)=MONTH(Simulation!$C$11)),1,0),0)</f>
        <v>0</v>
      </c>
      <c r="J91" s="65">
        <f t="shared" si="3"/>
        <v>0</v>
      </c>
      <c r="K91" s="66" t="str">
        <f t="shared" si="1"/>
        <v>ok</v>
      </c>
      <c r="L91" s="66">
        <f>IF(J91=1,IF(J92=0,IF(DAY(Simulation!$C$11)=1,0,DAY(Simulation!$C$11)-1),0),0)</f>
        <v>0</v>
      </c>
      <c r="M91" s="63">
        <f>IF(AND(J90=1,J91=1,J92=0,DAY(Simulation!$C$11)=1),0,IF(J91=1,IF(L91&lt;&gt;0,L91,C91),0))</f>
        <v>0</v>
      </c>
      <c r="N91" s="67">
        <f t="shared" si="2"/>
        <v>0</v>
      </c>
      <c r="O91" s="68">
        <f>IF($E$33=5,(($B$25*$B$11)/365)*$C91*$E$33*$F91*Simulation!$C$10,((($B$25*$B$11)/365)*$M91*Simulation!$C$10)+(($B$25*$B$11)/365)*$N91*$F91*Simulation!$C$10)</f>
        <v>0</v>
      </c>
      <c r="P91" s="69">
        <f>IF($E$33=5,(($B$26*$B$12)/365)*$C91*$E$33*$F91*Simulation!$C$10,((($B$26*$B$12)/365)*$M91*Simulation!$C$10)+(($B$26*$B$12)/365)*$N91*$F91*Simulation!$C$10)</f>
        <v>0</v>
      </c>
      <c r="Q91" s="107">
        <f>IF($E$33=5,($E$20/365)*$C91*$E$33*$F91*Simulation!$C$10,(($E$20/365)*$M91*Simulation!$C$10)+($E$20/365)*$N91*$F91*Simulation!$C$10)</f>
        <v>0</v>
      </c>
      <c r="R91" s="107" t="e">
        <f>IF($E$33=5,($E$21*#REF!/365)*$C91*$E$33*$F91*Simulation!$C$10,(($E$21*#REF!/365)*$M91*Simulation!$C$10)+($E$21*#REF!/365)*$N91*$F91*Simulation!$C$10)</f>
        <v>#REF!</v>
      </c>
    </row>
    <row r="92" spans="1:18" s="25" customFormat="1" ht="15" x14ac:dyDescent="0.25">
      <c r="A92" s="60">
        <v>44896</v>
      </c>
      <c r="B92" s="61">
        <v>44896</v>
      </c>
      <c r="C92" s="62">
        <f>MAX(0,MIN(EOMONTH(B92,0),Simulation!$C$12)-MAX(B92,Simulation!$C$11)+1)</f>
        <v>0</v>
      </c>
      <c r="D92" s="182"/>
      <c r="E92" s="184"/>
      <c r="F92" s="143">
        <v>1</v>
      </c>
      <c r="G92" s="63">
        <f t="shared" si="0"/>
        <v>31</v>
      </c>
      <c r="H92" s="186"/>
      <c r="I92" s="64">
        <f>IF(Simulation!$C$12&gt;=$B$108,IF(AND(YEAR(Simulation!$C$11)=YEAR(A92),MONTH(A92)=MONTH(Simulation!$C$11)),1,0),0)</f>
        <v>0</v>
      </c>
      <c r="J92" s="65">
        <f t="shared" si="3"/>
        <v>0</v>
      </c>
      <c r="K92" s="66" t="str">
        <f t="shared" si="1"/>
        <v>ok</v>
      </c>
      <c r="L92" s="66">
        <f>IF(J92=1,IF(J93=0,IF(DAY(Simulation!$C$11)=1,0,DAY(Simulation!$C$11)-1),0),0)</f>
        <v>0</v>
      </c>
      <c r="M92" s="63">
        <f>IF(AND(J91=1,J92=1,J93=0,DAY(Simulation!$C$11)=1),0,IF(J92=1,IF(L92&lt;&gt;0,L92,C92),0))</f>
        <v>0</v>
      </c>
      <c r="N92" s="67">
        <f t="shared" si="2"/>
        <v>0</v>
      </c>
      <c r="O92" s="68">
        <f>IF($E$33=5,(($B$25*$B$11)/365)*$C92*$E$33*$F92*Simulation!$C$10,((($B$25*$B$11)/365)*$M92*Simulation!$C$10)+(($B$25*$B$11)/365)*$N92*$F92*Simulation!$C$10)</f>
        <v>0</v>
      </c>
      <c r="P92" s="69">
        <f>IF($E$33=5,(($B$26*$B$12)/365)*$C92*$E$33*$F92*Simulation!$C$10,((($B$26*$B$12)/365)*$M92*Simulation!$C$10)+(($B$26*$B$12)/365)*$N92*$F92*Simulation!$C$10)</f>
        <v>0</v>
      </c>
      <c r="Q92" s="107">
        <f>IF($E$33=5,($E$20/365)*$C92*$E$33*$F92*Simulation!$C$10,(($E$20/365)*$M92*Simulation!$C$10)+($E$20/365)*$N92*$F92*Simulation!$C$10)</f>
        <v>0</v>
      </c>
      <c r="R92" s="107" t="e">
        <f>IF($E$33=5,($E$21*#REF!/365)*$C92*$E$33*$F92*Simulation!$C$10,(($E$21*#REF!/365)*$M92*Simulation!$C$10)+($E$21*#REF!/365)*$N92*$F92*Simulation!$C$10)</f>
        <v>#REF!</v>
      </c>
    </row>
    <row r="93" spans="1:18" s="25" customFormat="1" ht="15" x14ac:dyDescent="0.25">
      <c r="A93" s="60">
        <v>44927</v>
      </c>
      <c r="B93" s="61">
        <v>44927</v>
      </c>
      <c r="C93" s="62">
        <f>MAX(0,MIN(EOMONTH(B93,0),Simulation!$C$12)-MAX(B93,Simulation!$C$11)+1)</f>
        <v>0</v>
      </c>
      <c r="D93" s="182"/>
      <c r="E93" s="184"/>
      <c r="F93" s="143">
        <v>1</v>
      </c>
      <c r="G93" s="63">
        <f t="shared" si="0"/>
        <v>31</v>
      </c>
      <c r="H93" s="186"/>
      <c r="I93" s="64">
        <f>IF(Simulation!$C$12&gt;=$B$108,IF(AND(YEAR(Simulation!$C$11)=YEAR(A93),MONTH(A93)=MONTH(Simulation!$C$11)),1,0),0)</f>
        <v>0</v>
      </c>
      <c r="J93" s="65">
        <f t="shared" si="3"/>
        <v>0</v>
      </c>
      <c r="K93" s="66" t="str">
        <f t="shared" si="1"/>
        <v>ok</v>
      </c>
      <c r="L93" s="66">
        <f>IF(J93=1,IF(J94=0,IF(DAY(Simulation!$C$11)=1,0,DAY(Simulation!$C$11)-1),0),0)</f>
        <v>0</v>
      </c>
      <c r="M93" s="63">
        <f>IF(AND(J92=1,J93=1,J94=0,DAY(Simulation!$C$11)=1),0,IF(J93=1,IF(L93&lt;&gt;0,L93,C93),0))</f>
        <v>0</v>
      </c>
      <c r="N93" s="67">
        <f t="shared" si="2"/>
        <v>0</v>
      </c>
      <c r="O93" s="68">
        <f>IF($E$33=5,(($B$25*$B$11)/365)*$C93*$E$33*$F93*Simulation!$C$10,((($B$25*$B$11)/365)*$M93*Simulation!$C$10)+(($B$25*$B$11)/365)*$N93*$F93*Simulation!$C$10)</f>
        <v>0</v>
      </c>
      <c r="P93" s="69">
        <f>IF($E$33=5,(($B$26*$B$12)/365)*$C93*$E$33*$F93*Simulation!$C$10,((($B$26*$B$12)/365)*$M93*Simulation!$C$10)+(($B$26*$B$12)/365)*$N93*$F93*Simulation!$C$10)</f>
        <v>0</v>
      </c>
      <c r="Q93" s="107">
        <f>IF($E$33=5,($E$20/365)*$C93*$E$33*$F93*Simulation!$C$10,(($E$20/365)*$M93*Simulation!$C$10)+($E$20/365)*$N93*$F93*Simulation!$C$10)</f>
        <v>0</v>
      </c>
      <c r="R93" s="107" t="e">
        <f>IF($E$33=5,($E$21*#REF!/365)*$C93*$E$33*$F93*Simulation!$C$10,(($E$21*#REF!/365)*$M93*Simulation!$C$10)+($E$21*#REF!/365)*$N93*$F93*Simulation!$C$10)</f>
        <v>#REF!</v>
      </c>
    </row>
    <row r="94" spans="1:18" s="25" customFormat="1" ht="15" x14ac:dyDescent="0.25">
      <c r="A94" s="60">
        <v>44958</v>
      </c>
      <c r="B94" s="61">
        <v>44958</v>
      </c>
      <c r="C94" s="62">
        <f>MAX(0,MIN(EOMONTH(B94,0),Simulation!$C$12)-MAX(B94,Simulation!$C$11)+1)</f>
        <v>0</v>
      </c>
      <c r="D94" s="182"/>
      <c r="E94" s="184"/>
      <c r="F94" s="143">
        <v>1</v>
      </c>
      <c r="G94" s="63">
        <f t="shared" si="0"/>
        <v>28</v>
      </c>
      <c r="H94" s="186"/>
      <c r="I94" s="64">
        <f>IF(Simulation!$C$12&gt;=$B$108,IF(AND(YEAR(Simulation!$C$11)=YEAR(A94),MONTH(A94)=MONTH(Simulation!$C$11)),1,0),0)</f>
        <v>0</v>
      </c>
      <c r="J94" s="65">
        <f t="shared" si="3"/>
        <v>0</v>
      </c>
      <c r="K94" s="66" t="str">
        <f t="shared" si="1"/>
        <v>ok</v>
      </c>
      <c r="L94" s="66">
        <f>IF(J94=1,IF(J95=0,IF(DAY(Simulation!$C$11)=1,0,DAY(Simulation!$C$11)-1),0),0)</f>
        <v>0</v>
      </c>
      <c r="M94" s="63">
        <f>IF(AND(J93=1,J94=1,J95=0,DAY(Simulation!$C$11)=1),0,IF(J94=1,IF(L94&lt;&gt;0,L94,C94),0))</f>
        <v>0</v>
      </c>
      <c r="N94" s="67">
        <f t="shared" si="2"/>
        <v>0</v>
      </c>
      <c r="O94" s="68">
        <f>IF($E$33=5,(($B$25*$B$11)/365)*$C94*$E$33*$F94*Simulation!$C$10,((($B$25*$B$11)/365)*$M94*Simulation!$C$10)+(($B$25*$B$11)/365)*$N94*$F94*Simulation!$C$10)</f>
        <v>0</v>
      </c>
      <c r="P94" s="69">
        <f>IF($E$33=5,(($B$26*$B$12)/365)*$C94*$E$33*$F94*Simulation!$C$10,((($B$26*$B$12)/365)*$M94*Simulation!$C$10)+(($B$26*$B$12)/365)*$N94*$F94*Simulation!$C$10)</f>
        <v>0</v>
      </c>
      <c r="Q94" s="107">
        <f>IF($E$33=5,($E$20/365)*$C94*$E$33*$F94*Simulation!$C$10,(($E$20/365)*$M94*Simulation!$C$10)+($E$20/365)*$N94*$F94*Simulation!$C$10)</f>
        <v>0</v>
      </c>
      <c r="R94" s="107" t="e">
        <f>IF($E$33=5,($E$21*#REF!/365)*$C94*$E$33*$F94*Simulation!$C$10,(($E$21*#REF!/365)*$M94*Simulation!$C$10)+($E$21*#REF!/365)*$N94*$F94*Simulation!$C$10)</f>
        <v>#REF!</v>
      </c>
    </row>
    <row r="95" spans="1:18" s="25" customFormat="1" ht="15" x14ac:dyDescent="0.25">
      <c r="A95" s="60">
        <v>44986</v>
      </c>
      <c r="B95" s="61">
        <v>44986</v>
      </c>
      <c r="C95" s="62">
        <f>MAX(0,MIN(EOMONTH(B95,0),Simulation!$C$12)-MAX(B95,Simulation!$C$11)+1)</f>
        <v>0</v>
      </c>
      <c r="D95" s="182"/>
      <c r="E95" s="184"/>
      <c r="F95" s="143">
        <v>1</v>
      </c>
      <c r="G95" s="63">
        <f t="shared" si="0"/>
        <v>31</v>
      </c>
      <c r="H95" s="186"/>
      <c r="I95" s="64">
        <f>IF(Simulation!$C$12&gt;=$B$108,IF(AND(YEAR(Simulation!$C$11)=YEAR(A95),MONTH(A95)=MONTH(Simulation!$C$11)),1,0),0)</f>
        <v>0</v>
      </c>
      <c r="J95" s="65">
        <f t="shared" si="3"/>
        <v>0</v>
      </c>
      <c r="K95" s="66" t="str">
        <f t="shared" si="1"/>
        <v>ok</v>
      </c>
      <c r="L95" s="66">
        <f>IF(J95=1,IF(J96=0,IF(DAY(Simulation!$C$11)=1,0,DAY(Simulation!$C$11)-1),0),0)</f>
        <v>0</v>
      </c>
      <c r="M95" s="63">
        <f>IF(AND(J94=1,J95=1,J96=0,DAY(Simulation!$C$11)=1),0,IF(J95=1,IF(L95&lt;&gt;0,L95,C95),0))</f>
        <v>0</v>
      </c>
      <c r="N95" s="67">
        <f t="shared" si="2"/>
        <v>0</v>
      </c>
      <c r="O95" s="68">
        <f>IF($E$33=5,(($B$25*$B$11)/365)*$C95*$E$33*$F95*Simulation!$C$10,((($B$25*$B$11)/365)*$M95*Simulation!$C$10)+(($B$25*$B$11)/365)*$N95*$F95*Simulation!$C$10)</f>
        <v>0</v>
      </c>
      <c r="P95" s="69">
        <f>IF($E$33=5,(($B$26*$B$12)/365)*$C95*$E$33*$F95*Simulation!$C$10,((($B$26*$B$12)/365)*$M95*Simulation!$C$10)+(($B$26*$B$12)/365)*$N95*$F95*Simulation!$C$10)</f>
        <v>0</v>
      </c>
      <c r="Q95" s="107">
        <f>IF($E$33=5,($E$20/365)*$C95*$E$33*$F95*Simulation!$C$10,(($E$20/365)*$M95*Simulation!$C$10)+($E$20/365)*$N95*$F95*Simulation!$C$10)</f>
        <v>0</v>
      </c>
      <c r="R95" s="107" t="e">
        <f>IF($E$33=5,($E$21*#REF!/365)*$C95*$E$33*$F95*Simulation!$C$10,(($E$21*#REF!/365)*$M95*Simulation!$C$10)+($E$21*#REF!/365)*$N95*$F95*Simulation!$C$10)</f>
        <v>#REF!</v>
      </c>
    </row>
    <row r="96" spans="1:18" s="25" customFormat="1" ht="15" x14ac:dyDescent="0.25">
      <c r="A96" s="60">
        <v>45017</v>
      </c>
      <c r="B96" s="61">
        <v>45017</v>
      </c>
      <c r="C96" s="62">
        <f>MAX(0,MIN(EOMONTH(B96,0),Simulation!$C$12)-MAX(B96,Simulation!$C$11)+1)</f>
        <v>0</v>
      </c>
      <c r="D96" s="182"/>
      <c r="E96" s="184"/>
      <c r="F96" s="143">
        <v>1</v>
      </c>
      <c r="G96" s="63">
        <f t="shared" si="0"/>
        <v>30</v>
      </c>
      <c r="H96" s="186"/>
      <c r="I96" s="64">
        <f>IF(Simulation!$C$12&gt;=$B$108,IF(AND(YEAR(Simulation!$C$11)=YEAR(A96),MONTH(A96)=MONTH(Simulation!$C$11)),1,0),0)</f>
        <v>0</v>
      </c>
      <c r="J96" s="65">
        <f t="shared" si="3"/>
        <v>0</v>
      </c>
      <c r="K96" s="66" t="str">
        <f t="shared" si="1"/>
        <v>ok</v>
      </c>
      <c r="L96" s="66">
        <f>IF(J96=1,IF(J97=0,IF(DAY(Simulation!$C$11)=1,0,DAY(Simulation!$C$11)-1),0),0)</f>
        <v>0</v>
      </c>
      <c r="M96" s="63">
        <f>IF(AND(J95=1,J96=1,J97=0,DAY(Simulation!$C$11)=1),0,IF(J96=1,IF(L96&lt;&gt;0,L96,C96),0))</f>
        <v>0</v>
      </c>
      <c r="N96" s="67">
        <f t="shared" si="2"/>
        <v>0</v>
      </c>
      <c r="O96" s="68">
        <f>IF($E$33=5,(($B$25*$B$11)/365)*$C96*$E$33*$F96*Simulation!$C$10,((($B$25*$B$11)/365)*$M96*Simulation!$C$10)+(($B$25*$B$11)/365)*$N96*$F96*Simulation!$C$10)</f>
        <v>0</v>
      </c>
      <c r="P96" s="69">
        <f>IF($E$33=5,(($B$26*$B$12)/365)*$C96*$E$33*$F96*Simulation!$C$10,((($B$26*$B$12)/365)*$M96*Simulation!$C$10)+(($B$26*$B$12)/365)*$N96*$F96*Simulation!$C$10)</f>
        <v>0</v>
      </c>
      <c r="Q96" s="107">
        <f>IF($E$33=5,($E$20/365)*$C96*$E$33*$F96*Simulation!$C$10,(($E$20/365)*$M96*Simulation!$C$10)+($E$20/365)*$N96*$F96*Simulation!$C$10)</f>
        <v>0</v>
      </c>
      <c r="R96" s="107" t="e">
        <f>IF($E$33=5,($E$21*#REF!/365)*$C96*$E$33*$F96*Simulation!$C$10,(($E$21*#REF!/365)*$M96*Simulation!$C$10)+($E$21*#REF!/365)*$N96*$F96*Simulation!$C$10)</f>
        <v>#REF!</v>
      </c>
    </row>
    <row r="97" spans="1:18" s="25" customFormat="1" ht="15" x14ac:dyDescent="0.25">
      <c r="A97" s="60">
        <v>45047</v>
      </c>
      <c r="B97" s="61">
        <v>45047</v>
      </c>
      <c r="C97" s="62">
        <f>MAX(0,MIN(EOMONTH(B97,0),Simulation!$C$12)-MAX(B97,Simulation!$C$11)+1)</f>
        <v>0</v>
      </c>
      <c r="D97" s="182"/>
      <c r="E97" s="184"/>
      <c r="F97" s="143">
        <v>1</v>
      </c>
      <c r="G97" s="63">
        <f t="shared" ref="G97:G104" si="4">DAY(EOMONTH(A97,0))</f>
        <v>31</v>
      </c>
      <c r="H97" s="186"/>
      <c r="I97" s="64">
        <f>IF(Simulation!$C$12&gt;=$B$108,IF(AND(YEAR(Simulation!$C$11)=YEAR(A97),MONTH(A97)=MONTH(Simulation!$C$11)),1,0),0)</f>
        <v>0</v>
      </c>
      <c r="J97" s="65">
        <f t="shared" si="3"/>
        <v>0</v>
      </c>
      <c r="K97" s="66" t="str">
        <f t="shared" ref="K97:K104" si="5">IF((M97+N97)&lt;&gt;C97,"issue","ok")</f>
        <v>ok</v>
      </c>
      <c r="L97" s="66">
        <f>IF(J97=1,IF(J98=0,IF(DAY(Simulation!$C$11)=1,0,DAY(Simulation!$C$11)-1),0),0)</f>
        <v>0</v>
      </c>
      <c r="M97" s="63">
        <f>IF(AND(J96=1,J97=1,J98=0,DAY(Simulation!$C$11)=1),0,IF(J97=1,IF(L97&lt;&gt;0,L97,C97),0))</f>
        <v>0</v>
      </c>
      <c r="N97" s="67">
        <f t="shared" ref="N97:N104" si="6">MAX(0,C97-M97)</f>
        <v>0</v>
      </c>
      <c r="O97" s="68">
        <f>IF($E$33=5,(($B$25*$B$11)/365)*$C97*$E$33*$F97*Simulation!$C$10,((($B$25*$B$11)/365)*$M97*Simulation!$C$10)+(($B$25*$B$11)/365)*$N97*$F97*Simulation!$C$10)</f>
        <v>0</v>
      </c>
      <c r="P97" s="69">
        <f>IF($E$33=5,(($B$26*$B$12)/365)*$C97*$E$33*$F97*Simulation!$C$10,((($B$26*$B$12)/365)*$M97*Simulation!$C$10)+(($B$26*$B$12)/365)*$N97*$F97*Simulation!$C$10)</f>
        <v>0</v>
      </c>
      <c r="Q97" s="107">
        <f>IF($E$33=5,($E$20/365)*$C97*$E$33*$F97*Simulation!$C$10,(($E$20/365)*$M97*Simulation!$C$10)+($E$20/365)*$N97*$F97*Simulation!$C$10)</f>
        <v>0</v>
      </c>
      <c r="R97" s="107" t="e">
        <f>IF($E$33=5,($E$21*#REF!/365)*$C97*$E$33*$F97*Simulation!$C$10,(($E$21*#REF!/365)*$M97*Simulation!$C$10)+($E$21*#REF!/365)*$N97*$F97*Simulation!$C$10)</f>
        <v>#REF!</v>
      </c>
    </row>
    <row r="98" spans="1:18" s="25" customFormat="1" ht="15" x14ac:dyDescent="0.25">
      <c r="A98" s="60">
        <v>45078</v>
      </c>
      <c r="B98" s="61">
        <v>45078</v>
      </c>
      <c r="C98" s="62">
        <f>MAX(0,MIN(EOMONTH(B98,0),Simulation!$C$12)-MAX(B98,Simulation!$C$11)+1)</f>
        <v>0</v>
      </c>
      <c r="D98" s="182"/>
      <c r="E98" s="184"/>
      <c r="F98" s="143">
        <v>1</v>
      </c>
      <c r="G98" s="63">
        <f t="shared" si="4"/>
        <v>30</v>
      </c>
      <c r="H98" s="186"/>
      <c r="I98" s="64">
        <f>IF(Simulation!$C$12&gt;=$B$108,IF(AND(YEAR(Simulation!$C$11)=YEAR(A98),MONTH(A98)=MONTH(Simulation!$C$11)),1,0),0)</f>
        <v>0</v>
      </c>
      <c r="J98" s="65">
        <f t="shared" si="3"/>
        <v>0</v>
      </c>
      <c r="K98" s="66" t="str">
        <f t="shared" si="5"/>
        <v>ok</v>
      </c>
      <c r="L98" s="66">
        <f>IF(J98=1,IF(J99=0,IF(DAY(Simulation!$C$11)=1,0,DAY(Simulation!$C$11)-1),0),0)</f>
        <v>0</v>
      </c>
      <c r="M98" s="63">
        <f>IF(AND(J97=1,J98=1,J99=0,DAY(Simulation!$C$11)=1),0,IF(J98=1,IF(L98&lt;&gt;0,L98,C98),0))</f>
        <v>0</v>
      </c>
      <c r="N98" s="67">
        <f t="shared" si="6"/>
        <v>0</v>
      </c>
      <c r="O98" s="68">
        <f>IF($E$33=5,(($B$25*$B$11)/365)*$C98*$E$33*$F98*Simulation!$C$10,((($B$25*$B$11)/365)*$M98*Simulation!$C$10)+(($B$25*$B$11)/365)*$N98*$F98*Simulation!$C$10)</f>
        <v>0</v>
      </c>
      <c r="P98" s="69">
        <f>IF($E$33=5,(($B$26*$B$12)/365)*$C98*$E$33*$F98*Simulation!$C$10,((($B$26*$B$12)/365)*$M98*Simulation!$C$10)+(($B$26*$B$12)/365)*$N98*$F98*Simulation!$C$10)</f>
        <v>0</v>
      </c>
      <c r="Q98" s="107">
        <f>IF($E$33=5,($E$20/365)*$C98*$E$33*$F98*Simulation!$C$10,(($E$20/365)*$M98*Simulation!$C$10)+($E$20/365)*$N98*$F98*Simulation!$C$10)</f>
        <v>0</v>
      </c>
      <c r="R98" s="107" t="e">
        <f>IF($E$33=5,($E$21*#REF!/365)*$C98*$E$33*$F98*Simulation!$C$10,(($E$21*#REF!/365)*$M98*Simulation!$C$10)+($E$21*#REF!/365)*$N98*$F98*Simulation!$C$10)</f>
        <v>#REF!</v>
      </c>
    </row>
    <row r="99" spans="1:18" s="25" customFormat="1" ht="15" x14ac:dyDescent="0.25">
      <c r="A99" s="60">
        <v>45108</v>
      </c>
      <c r="B99" s="61">
        <v>45108</v>
      </c>
      <c r="C99" s="62">
        <f>MAX(0,MIN(EOMONTH(B99,0),Simulation!$C$12)-MAX(B99,Simulation!$C$11)+1)</f>
        <v>0</v>
      </c>
      <c r="D99" s="182"/>
      <c r="E99" s="184"/>
      <c r="F99" s="143">
        <v>1</v>
      </c>
      <c r="G99" s="63">
        <f t="shared" si="4"/>
        <v>31</v>
      </c>
      <c r="H99" s="186"/>
      <c r="I99" s="64">
        <f>IF(Simulation!$C$12&gt;=$B$108,IF(AND(YEAR(Simulation!$C$11)=YEAR(A99),MONTH(A99)=MONTH(Simulation!$C$11)),1,0),0)</f>
        <v>0</v>
      </c>
      <c r="J99" s="65">
        <f t="shared" si="3"/>
        <v>0</v>
      </c>
      <c r="K99" s="66" t="str">
        <f t="shared" si="5"/>
        <v>ok</v>
      </c>
      <c r="L99" s="66">
        <f>IF(J99=1,IF(J100=0,IF(DAY(Simulation!$C$11)=1,0,DAY(Simulation!$C$11)-1),0),0)</f>
        <v>0</v>
      </c>
      <c r="M99" s="63">
        <f>IF(AND(J98=1,J99=1,J100=0,DAY(Simulation!$C$11)=1),0,IF(J99=1,IF(L99&lt;&gt;0,L99,C99),0))</f>
        <v>0</v>
      </c>
      <c r="N99" s="67">
        <f t="shared" si="6"/>
        <v>0</v>
      </c>
      <c r="O99" s="68">
        <f>IF($E$33=5,(($B$25*$B$11)/365)*$C99*$E$33*$F99*Simulation!$C$10,((($B$25*$B$11)/365)*$M99*Simulation!$C$10)+(($B$25*$B$11)/365)*$N99*$F99*Simulation!$C$10)</f>
        <v>0</v>
      </c>
      <c r="P99" s="69">
        <f>IF($E$33=5,(($B$26*$B$12)/365)*$C99*$E$33*$F99*Simulation!$C$10,((($B$26*$B$12)/365)*$M99*Simulation!$C$10)+(($B$26*$B$12)/365)*$N99*$F99*Simulation!$C$10)</f>
        <v>0</v>
      </c>
      <c r="Q99" s="107">
        <f>IF($E$33=5,($E$20/365)*$C99*$E$33*$F99*Simulation!$C$10,(($E$20/365)*$M99*Simulation!$C$10)+($E$20/365)*$N99*$F99*Simulation!$C$10)</f>
        <v>0</v>
      </c>
      <c r="R99" s="107" t="e">
        <f>IF($E$33=5,($E$21*#REF!/365)*$C99*$E$33*$F99*Simulation!$C$10,(($E$21*#REF!/365)*$M99*Simulation!$C$10)+($E$21*#REF!/365)*$N99*$F99*Simulation!$C$10)</f>
        <v>#REF!</v>
      </c>
    </row>
    <row r="100" spans="1:18" s="25" customFormat="1" ht="15" x14ac:dyDescent="0.25">
      <c r="A100" s="60">
        <v>45139</v>
      </c>
      <c r="B100" s="61">
        <v>45139</v>
      </c>
      <c r="C100" s="62">
        <f>MAX(0,MIN(EOMONTH(B100,0),Simulation!$C$12)-MAX(B100,Simulation!$C$11)+1)</f>
        <v>0</v>
      </c>
      <c r="D100" s="182"/>
      <c r="E100" s="184"/>
      <c r="F100" s="143">
        <v>1</v>
      </c>
      <c r="G100" s="63">
        <f t="shared" si="4"/>
        <v>31</v>
      </c>
      <c r="H100" s="186"/>
      <c r="I100" s="64">
        <f>IF(Simulation!$C$12&gt;=$B$108,IF(AND(YEAR(Simulation!$C$11)=YEAR(A100),MONTH(A100)=MONTH(Simulation!$C$11)),1,0),0)</f>
        <v>0</v>
      </c>
      <c r="J100" s="65">
        <f t="shared" si="3"/>
        <v>0</v>
      </c>
      <c r="K100" s="66" t="str">
        <f t="shared" si="5"/>
        <v>ok</v>
      </c>
      <c r="L100" s="66">
        <f>IF(J100=1,IF(J101=0,IF(DAY(Simulation!$C$11)=1,0,DAY(Simulation!$C$11)-1),0),0)</f>
        <v>0</v>
      </c>
      <c r="M100" s="63">
        <f>IF(AND(J99=1,J100=1,J101=0,DAY(Simulation!$C$11)=1),0,IF(J100=1,IF(L100&lt;&gt;0,L100,C100),0))</f>
        <v>0</v>
      </c>
      <c r="N100" s="67">
        <f t="shared" si="6"/>
        <v>0</v>
      </c>
      <c r="O100" s="68">
        <f>IF($E$33=5,(($B$25*$B$11)/365)*$C100*$E$33*$F100*Simulation!$C$10,((($B$25*$B$11)/365)*$M100*Simulation!$C$10)+(($B$25*$B$11)/365)*$N100*$F100*Simulation!$C$10)</f>
        <v>0</v>
      </c>
      <c r="P100" s="69">
        <f>IF($E$33=5,(($B$26*$B$12)/365)*$C100*$E$33*$F100*Simulation!$C$10,((($B$26*$B$12)/365)*$M100*Simulation!$C$10)+(($B$26*$B$12)/365)*$N100*$F100*Simulation!$C$10)</f>
        <v>0</v>
      </c>
      <c r="Q100" s="107">
        <f>IF($E$33=5,($E$20/365)*$C100*$E$33*$F100*Simulation!$C$10,(($E$20/365)*$M100*Simulation!$C$10)+($E$20/365)*$N100*$F100*Simulation!$C$10)</f>
        <v>0</v>
      </c>
      <c r="R100" s="107" t="e">
        <f>IF($E$33=5,($E$21*#REF!/365)*$C100*$E$33*$F100*Simulation!$C$10,(($E$21*#REF!/365)*$M100*Simulation!$C$10)+($E$21*#REF!/365)*$N100*$F100*Simulation!$C$10)</f>
        <v>#REF!</v>
      </c>
    </row>
    <row r="101" spans="1:18" s="25" customFormat="1" ht="15" x14ac:dyDescent="0.25">
      <c r="A101" s="60">
        <v>45170</v>
      </c>
      <c r="B101" s="61">
        <v>45170</v>
      </c>
      <c r="C101" s="62">
        <f>MAX(0,MIN(EOMONTH(B101,0),Simulation!$C$12)-MAX(B101,Simulation!$C$11)+1)</f>
        <v>0</v>
      </c>
      <c r="D101" s="182"/>
      <c r="E101" s="184"/>
      <c r="F101" s="143">
        <v>1</v>
      </c>
      <c r="G101" s="63">
        <f t="shared" si="4"/>
        <v>30</v>
      </c>
      <c r="H101" s="186"/>
      <c r="I101" s="64">
        <f>IF(Simulation!$C$12&gt;=$B$108,IF(AND(YEAR(Simulation!$C$11)=YEAR(A101),MONTH(A101)=MONTH(Simulation!$C$11)),1,0),0)</f>
        <v>0</v>
      </c>
      <c r="J101" s="65">
        <f t="shared" si="3"/>
        <v>0</v>
      </c>
      <c r="K101" s="66" t="str">
        <f t="shared" si="5"/>
        <v>ok</v>
      </c>
      <c r="L101" s="66">
        <f>IF(J101=1,IF(J102=0,IF(DAY(Simulation!$C$11)=1,0,DAY(Simulation!$C$11)-1),0),0)</f>
        <v>0</v>
      </c>
      <c r="M101" s="63">
        <f>IF(AND(J100=1,J101=1,J102=0,DAY(Simulation!$C$11)=1),0,IF(J101=1,IF(L101&lt;&gt;0,L101,C101),0))</f>
        <v>0</v>
      </c>
      <c r="N101" s="67">
        <f t="shared" si="6"/>
        <v>0</v>
      </c>
      <c r="O101" s="68">
        <f>IF($E$33=5,(($B$25*$B$11)/365)*$C101*$E$33*$F101*Simulation!$C$10,((($B$25*$B$11)/365)*$M101*Simulation!$C$10)+(($B$25*$B$11)/365)*$N101*$F101*Simulation!$C$10)</f>
        <v>0</v>
      </c>
      <c r="P101" s="69">
        <f>IF($E$33=5,(($B$26*$B$12)/365)*$C101*$E$33*$F101*Simulation!$C$10,((($B$26*$B$12)/365)*$M101*Simulation!$C$10)+(($B$26*$B$12)/365)*$N101*$F101*Simulation!$C$10)</f>
        <v>0</v>
      </c>
      <c r="Q101" s="107">
        <f>IF($E$33=5,($E$20/365)*$C101*$E$33*$F101*Simulation!$C$10,(($E$20/365)*$M101*Simulation!$C$10)+($E$20/365)*$N101*$F101*Simulation!$C$10)</f>
        <v>0</v>
      </c>
      <c r="R101" s="107" t="e">
        <f>IF($E$33=5,($E$21*#REF!/365)*$C101*$E$33*$F101*Simulation!$C$10,(($E$21*#REF!/365)*$M101*Simulation!$C$10)+($E$21*#REF!/365)*$N101*$F101*Simulation!$C$10)</f>
        <v>#REF!</v>
      </c>
    </row>
    <row r="102" spans="1:18" s="25" customFormat="1" ht="15" x14ac:dyDescent="0.25">
      <c r="A102" s="60">
        <v>45200</v>
      </c>
      <c r="B102" s="61">
        <v>45200</v>
      </c>
      <c r="C102" s="62">
        <f>MAX(0,MIN(EOMONTH(B102,0),Simulation!$C$12)-MAX(B102,Simulation!$C$11)+1)</f>
        <v>0</v>
      </c>
      <c r="D102" s="182"/>
      <c r="E102" s="184"/>
      <c r="F102" s="143">
        <v>1</v>
      </c>
      <c r="G102" s="63">
        <f t="shared" si="4"/>
        <v>31</v>
      </c>
      <c r="H102" s="186"/>
      <c r="I102" s="64">
        <f>IF(Simulation!$C$12&gt;=$B$108,IF(AND(YEAR(Simulation!$C$11)=YEAR(A102),MONTH(A102)=MONTH(Simulation!$C$11)),1,0),0)</f>
        <v>0</v>
      </c>
      <c r="J102" s="65">
        <f t="shared" si="3"/>
        <v>0</v>
      </c>
      <c r="K102" s="66" t="str">
        <f t="shared" si="5"/>
        <v>ok</v>
      </c>
      <c r="L102" s="66">
        <f>IF(J102=1,IF(J103=0,IF(DAY(Simulation!$C$11)=1,0,DAY(Simulation!$C$11)-1),0),0)</f>
        <v>0</v>
      </c>
      <c r="M102" s="63">
        <f>IF(AND(J101=1,J102=1,J103=0,DAY(Simulation!$C$11)=1),0,IF(J102=1,IF(L102&lt;&gt;0,L102,C102),0))</f>
        <v>0</v>
      </c>
      <c r="N102" s="67">
        <f t="shared" si="6"/>
        <v>0</v>
      </c>
      <c r="O102" s="68">
        <f>IF($E$33=5,(($B$25*$B$11)/365)*$C102*$E$33*$F102*Simulation!$C$10,((($B$25*$B$11)/365)*$M102*Simulation!$C$10)+(($B$25*$B$11)/365)*$N102*$F102*Simulation!$C$10)</f>
        <v>0</v>
      </c>
      <c r="P102" s="69">
        <f>IF($E$33=5,(($B$26*$B$12)/365)*$C102*$E$33*$F102*Simulation!$C$10,((($B$26*$B$12)/365)*$M102*Simulation!$C$10)+(($B$26*$B$12)/365)*$N102*$F102*Simulation!$C$10)</f>
        <v>0</v>
      </c>
      <c r="Q102" s="107">
        <f>IF($E$33=5,($E$20/365)*$C102*$E$33*$F102*Simulation!$C$10,(($E$20/365)*$M102*Simulation!$C$10)+($E$20/365)*$N102*$F102*Simulation!$C$10)</f>
        <v>0</v>
      </c>
      <c r="R102" s="107" t="e">
        <f>IF($E$33=5,($E$21*#REF!/365)*$C102*$E$33*$F102*Simulation!$C$10,(($E$21*#REF!/365)*$M102*Simulation!$C$10)+($E$21*#REF!/365)*$N102*$F102*Simulation!$C$10)</f>
        <v>#REF!</v>
      </c>
    </row>
    <row r="103" spans="1:18" s="25" customFormat="1" ht="15" x14ac:dyDescent="0.25">
      <c r="A103" s="60">
        <v>45231</v>
      </c>
      <c r="B103" s="61">
        <v>45231</v>
      </c>
      <c r="C103" s="62">
        <f>MAX(0,MIN(EOMONTH(B103,0),Simulation!$C$12)-MAX(B103,Simulation!$C$11)+1)</f>
        <v>0</v>
      </c>
      <c r="D103" s="182"/>
      <c r="E103" s="184"/>
      <c r="F103" s="143">
        <v>1</v>
      </c>
      <c r="G103" s="63">
        <f t="shared" si="4"/>
        <v>30</v>
      </c>
      <c r="H103" s="186"/>
      <c r="I103" s="64">
        <f>IF(Simulation!$C$12&gt;=$B$108,IF(AND(YEAR(Simulation!$C$11)=YEAR(A103),MONTH(A103)=MONTH(Simulation!$C$11)),1,0),0)</f>
        <v>0</v>
      </c>
      <c r="J103" s="65">
        <f t="shared" si="3"/>
        <v>0</v>
      </c>
      <c r="K103" s="66" t="str">
        <f t="shared" si="5"/>
        <v>ok</v>
      </c>
      <c r="L103" s="66">
        <f>IF(J103=1,IF(J104=0,IF(DAY(Simulation!$C$11)=1,0,DAY(Simulation!$C$11)-1),0),0)</f>
        <v>0</v>
      </c>
      <c r="M103" s="63">
        <f>IF(AND(J102=1,J103=1,J104=0,DAY(Simulation!$C$11)=1),0,IF(J103=1,IF(L103&lt;&gt;0,L103,C103),0))</f>
        <v>0</v>
      </c>
      <c r="N103" s="67">
        <f t="shared" si="6"/>
        <v>0</v>
      </c>
      <c r="O103" s="68">
        <f>IF($E$33=5,(($B$25*$B$11)/365)*$C103*$E$33*$F103*Simulation!$C$10,((($B$25*$B$11)/365)*$M103*Simulation!$C$10)+(($B$25*$B$11)/365)*$N103*$F103*Simulation!$C$10)</f>
        <v>0</v>
      </c>
      <c r="P103" s="69">
        <f>IF($E$33=5,(($B$26*$B$12)/365)*$C103*$E$33*$F103*Simulation!$C$10,((($B$26*$B$12)/365)*$M103*Simulation!$C$10)+(($B$26*$B$12)/365)*$N103*$F103*Simulation!$C$10)</f>
        <v>0</v>
      </c>
      <c r="Q103" s="107">
        <f>IF($E$33=5,($E$20/365)*$C103*$E$33*$F103*Simulation!$C$10,(($E$20/365)*$M103*Simulation!$C$10)+($E$20/365)*$N103*$F103*Simulation!$C$10)</f>
        <v>0</v>
      </c>
      <c r="R103" s="107" t="e">
        <f>IF($E$33=5,($E$21*#REF!/365)*$C103*$E$33*$F103*Simulation!$C$10,(($E$21*#REF!/365)*$M103*Simulation!$C$10)+($E$21*#REF!/365)*$N103*$F103*Simulation!$C$10)</f>
        <v>#REF!</v>
      </c>
    </row>
    <row r="104" spans="1:18" s="25" customFormat="1" ht="15" x14ac:dyDescent="0.25">
      <c r="A104" s="60">
        <v>45261</v>
      </c>
      <c r="B104" s="61">
        <v>45261</v>
      </c>
      <c r="C104" s="62">
        <f>MAX(0,MIN(EOMONTH(B104,0),Simulation!$C$12)-MAX(B104,Simulation!$C$11)+1)</f>
        <v>0</v>
      </c>
      <c r="D104" s="182"/>
      <c r="E104" s="184"/>
      <c r="F104" s="143">
        <v>1</v>
      </c>
      <c r="G104" s="63">
        <f t="shared" si="4"/>
        <v>31</v>
      </c>
      <c r="H104" s="186"/>
      <c r="I104" s="64">
        <f>IF(Simulation!$C$12&gt;=$B$108,IF(AND(YEAR(Simulation!$C$11)=YEAR(A104),MONTH(A104)=MONTH(Simulation!$C$11)),1,0),0)</f>
        <v>0</v>
      </c>
      <c r="J104" s="65">
        <f t="shared" si="3"/>
        <v>0</v>
      </c>
      <c r="K104" s="66" t="str">
        <f t="shared" si="5"/>
        <v>ok</v>
      </c>
      <c r="L104" s="66">
        <f>IF(J104=1,IF(J105=0,IF(DAY(Simulation!$C$11)=1,0,DAY(Simulation!$C$11)-1),0),0)</f>
        <v>0</v>
      </c>
      <c r="M104" s="63">
        <f>IF(AND(J103=1,J104=1,J105=0,DAY(Simulation!$C$11)=1),0,IF(J104=1,IF(L104&lt;&gt;0,L104,C104),0))</f>
        <v>0</v>
      </c>
      <c r="N104" s="67">
        <f t="shared" si="6"/>
        <v>0</v>
      </c>
      <c r="O104" s="68">
        <f>IF($E$33=5,(($B$25*$B$11)/365)*$C104*$E$33*$F104*Simulation!$C$10,((($B$25*$B$11)/365)*$M104*Simulation!$C$10)+(($B$25*$B$11)/365)*$N104*$F104*Simulation!$C$10)</f>
        <v>0</v>
      </c>
      <c r="P104" s="69">
        <f>IF($E$33=5,(($B$26*$B$12)/365)*$C104*$E$33*$F104*Simulation!$C$10,((($B$26*$B$12)/365)*$M104*Simulation!$C$10)+(($B$26*$B$12)/365)*$N104*$F104*Simulation!$C$10)</f>
        <v>0</v>
      </c>
      <c r="Q104" s="107">
        <f>IF($E$33=5,($E$20/365)*$C104*$E$33*$F104*Simulation!$C$10,(($E$20/365)*$M104*Simulation!$C$10)+($E$20/365)*$N104*$F104*Simulation!$C$10)</f>
        <v>0</v>
      </c>
      <c r="R104" s="107" t="e">
        <f>IF($E$33=5,($E$21*#REF!/365)*$C104*$E$33*$F104*Simulation!$C$10,(($E$21*#REF!/365)*$M104*Simulation!$C$10)+($E$21*#REF!/365)*$N104*$F104*Simulation!$C$10)</f>
        <v>#REF!</v>
      </c>
    </row>
    <row r="105" spans="1:18" s="25" customFormat="1" ht="15" x14ac:dyDescent="0.25">
      <c r="A105" s="70"/>
      <c r="B105" s="71"/>
      <c r="C105" s="72"/>
      <c r="D105" s="73"/>
      <c r="E105" s="74"/>
      <c r="F105" s="75"/>
      <c r="G105" s="76"/>
      <c r="H105" s="77"/>
      <c r="I105" s="58"/>
      <c r="J105" s="78"/>
      <c r="K105" s="79"/>
      <c r="L105" s="79"/>
      <c r="M105" s="76"/>
      <c r="N105" s="80"/>
      <c r="O105" s="81"/>
      <c r="P105" s="82"/>
    </row>
    <row r="106" spans="1:18" s="25" customFormat="1" ht="15" x14ac:dyDescent="0.25">
      <c r="A106" s="39" t="s">
        <v>939</v>
      </c>
      <c r="B106" s="32">
        <f>MONTH(Simulation!C11)</f>
        <v>3</v>
      </c>
      <c r="C106" s="26"/>
      <c r="D106" s="26"/>
      <c r="J106" s="83"/>
      <c r="K106" s="84"/>
      <c r="L106" s="84"/>
      <c r="M106" s="84"/>
      <c r="N106" s="84"/>
      <c r="O106" s="84"/>
    </row>
    <row r="107" spans="1:18" s="25" customFormat="1" ht="15" x14ac:dyDescent="0.25">
      <c r="A107" s="39" t="s">
        <v>982</v>
      </c>
      <c r="B107" s="32">
        <f>DATE(YEAR(Simulation!C11),12,31)-DATE(YEAR(Simulation!C11),1,1)+1</f>
        <v>366</v>
      </c>
      <c r="C107" s="26"/>
      <c r="D107" s="26"/>
      <c r="J107" s="83"/>
      <c r="K107" s="84"/>
      <c r="L107" s="84"/>
      <c r="M107" s="84"/>
      <c r="N107" s="84"/>
      <c r="O107" s="84"/>
    </row>
    <row r="108" spans="1:18" s="25" customFormat="1" ht="15" x14ac:dyDescent="0.25">
      <c r="A108" s="39" t="s">
        <v>988</v>
      </c>
      <c r="B108" s="85">
        <f>DATE(YEAR(Simulation!$C$11)+1,MONTH(Simulation!$C$11),DAY(Simulation!$C$11)-1)</f>
        <v>44285</v>
      </c>
      <c r="C108" s="26"/>
      <c r="D108" s="26"/>
      <c r="J108" s="83"/>
      <c r="K108" s="84"/>
      <c r="L108" s="84"/>
      <c r="M108" s="84"/>
      <c r="N108" s="84"/>
      <c r="O108" s="84"/>
    </row>
    <row r="109" spans="1:18" s="25" customFormat="1" ht="15" x14ac:dyDescent="0.25">
      <c r="A109" s="39" t="s">
        <v>990</v>
      </c>
      <c r="B109" s="85">
        <f>DATE(YEAR(Simulation!$C$11)+2,MONTH(Simulation!$C$11),DAY(Simulation!$C$11)-1)</f>
        <v>44650</v>
      </c>
      <c r="C109" s="26"/>
      <c r="D109" s="26"/>
      <c r="J109" s="83"/>
      <c r="K109" s="84"/>
      <c r="L109" s="84"/>
      <c r="M109" s="84"/>
      <c r="N109" s="84"/>
      <c r="O109" s="84"/>
    </row>
    <row r="110" spans="1:18" s="25" customFormat="1" ht="15" x14ac:dyDescent="0.25">
      <c r="A110" s="39" t="s">
        <v>991</v>
      </c>
      <c r="B110" s="85">
        <f>DATE(YEAR(Simulation!$C$11)+3,MONTH(Simulation!$C$11),DAY(Simulation!$C$11)-1)</f>
        <v>45015</v>
      </c>
      <c r="C110" s="26"/>
      <c r="D110" s="26"/>
      <c r="J110" s="83"/>
      <c r="K110" s="84"/>
      <c r="L110" s="84"/>
      <c r="M110" s="84"/>
      <c r="N110" s="84"/>
      <c r="O110" s="84"/>
    </row>
    <row r="111" spans="1:18" s="25" customFormat="1" ht="15" x14ac:dyDescent="0.25">
      <c r="A111" s="39" t="s">
        <v>989</v>
      </c>
      <c r="B111" s="85">
        <f>DATE(YEAR(Simulation!$C$11)+4,MONTH(Simulation!$C$11),DAY(Simulation!$C$11)-1)</f>
        <v>45381</v>
      </c>
      <c r="C111" s="26"/>
      <c r="D111" s="26"/>
      <c r="J111" s="83"/>
      <c r="K111" s="84"/>
      <c r="L111" s="84"/>
      <c r="M111" s="84"/>
      <c r="N111" s="84"/>
      <c r="O111" s="84"/>
    </row>
    <row r="112" spans="1:18" s="25" customFormat="1" ht="15" x14ac:dyDescent="0.25">
      <c r="A112" s="39" t="s">
        <v>938</v>
      </c>
      <c r="B112" s="85">
        <f>Simulation!C11-DATE(YEAR(Simulation!C11),1,0)</f>
        <v>91</v>
      </c>
      <c r="C112" s="26"/>
      <c r="D112" s="26"/>
      <c r="N112" s="26"/>
      <c r="O112" s="26"/>
    </row>
    <row r="113" spans="1:15" s="25" customFormat="1" ht="15" x14ac:dyDescent="0.25">
      <c r="A113" s="39" t="s">
        <v>937</v>
      </c>
      <c r="B113" s="136">
        <f>Simulation!C12-DATE(YEAR(Simulation!C12),1,0)</f>
        <v>213</v>
      </c>
      <c r="C113" s="26"/>
      <c r="D113" s="26"/>
      <c r="N113" s="26"/>
      <c r="O113" s="26"/>
    </row>
    <row r="114" spans="1:15" s="25" customFormat="1" ht="15" x14ac:dyDescent="0.25">
      <c r="A114" s="39" t="s">
        <v>936</v>
      </c>
      <c r="B114" s="32">
        <f>DAY(Simulation!C11)</f>
        <v>31</v>
      </c>
      <c r="C114" s="26"/>
      <c r="D114" s="26"/>
      <c r="N114" s="26"/>
      <c r="O114" s="26"/>
    </row>
    <row r="115" spans="1:15" s="25" customFormat="1" ht="15" x14ac:dyDescent="0.25">
      <c r="A115" s="39" t="s">
        <v>935</v>
      </c>
      <c r="B115" s="32">
        <f>DAY(Simulation!C12)</f>
        <v>31</v>
      </c>
      <c r="C115" s="26"/>
      <c r="D115" s="26"/>
      <c r="N115" s="26"/>
      <c r="O115" s="26"/>
    </row>
    <row r="116" spans="1:15" s="25" customFormat="1" ht="15" x14ac:dyDescent="0.25">
      <c r="A116" s="42"/>
      <c r="B116" s="44"/>
      <c r="C116" s="86"/>
      <c r="D116" s="86"/>
      <c r="E116" s="87"/>
      <c r="N116" s="26"/>
      <c r="O116" s="26"/>
    </row>
    <row r="117" spans="1:15" s="25" customFormat="1" ht="15" x14ac:dyDescent="0.25">
      <c r="A117" s="46" t="s">
        <v>934</v>
      </c>
      <c r="B117" s="44"/>
      <c r="C117" s="86"/>
      <c r="D117" s="86"/>
      <c r="E117" s="87"/>
      <c r="N117" s="26"/>
      <c r="O117" s="26"/>
    </row>
    <row r="118" spans="1:15" s="25" customFormat="1" ht="15" x14ac:dyDescent="0.25">
      <c r="A118" s="26" t="s">
        <v>933</v>
      </c>
      <c r="B118" s="44"/>
      <c r="C118" s="26"/>
      <c r="D118" s="26"/>
      <c r="N118" s="26"/>
      <c r="O118" s="26"/>
    </row>
    <row r="119" spans="1:15" s="25" customFormat="1" ht="15" x14ac:dyDescent="0.25">
      <c r="A119" s="26" t="s">
        <v>930</v>
      </c>
      <c r="B119" s="44"/>
      <c r="C119" s="26"/>
      <c r="D119" s="26"/>
      <c r="N119" s="26"/>
      <c r="O119" s="26"/>
    </row>
    <row r="120" spans="1:15" s="25" customFormat="1" ht="15" x14ac:dyDescent="0.25">
      <c r="A120" s="26" t="s">
        <v>932</v>
      </c>
      <c r="B120" s="44"/>
      <c r="C120" s="26"/>
      <c r="D120" s="26"/>
      <c r="N120" s="26"/>
      <c r="O120" s="26"/>
    </row>
    <row r="121" spans="1:15" s="25" customFormat="1" ht="15" x14ac:dyDescent="0.25">
      <c r="A121" s="26" t="s">
        <v>931</v>
      </c>
      <c r="B121" s="44"/>
      <c r="C121" s="26"/>
      <c r="D121" s="26"/>
      <c r="N121" s="26"/>
      <c r="O121" s="26"/>
    </row>
  </sheetData>
  <sheetProtection selectLockedCells="1" selectUnlockedCells="1"/>
  <mergeCells count="8">
    <mergeCell ref="D33:D104"/>
    <mergeCell ref="E33:E104"/>
    <mergeCell ref="H33:H104"/>
    <mergeCell ref="A3:B3"/>
    <mergeCell ref="A9:C9"/>
    <mergeCell ref="A15:B15"/>
    <mergeCell ref="A18:B18"/>
    <mergeCell ref="D31:E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124"/>
  <sheetViews>
    <sheetView workbookViewId="0">
      <selection activeCell="C2" sqref="C2"/>
    </sheetView>
  </sheetViews>
  <sheetFormatPr defaultColWidth="22.28515625" defaultRowHeight="12.75" x14ac:dyDescent="0.2"/>
  <cols>
    <col min="1" max="1" width="38.7109375" style="88" customWidth="1"/>
    <col min="2" max="2" width="30.5703125" style="88" customWidth="1"/>
    <col min="3" max="3" width="22.28515625" style="88"/>
    <col min="4" max="4" width="27.5703125" style="88" customWidth="1"/>
    <col min="5" max="16384" width="22.28515625" style="88"/>
  </cols>
  <sheetData>
    <row r="1" spans="1:15" s="24" customFormat="1" ht="15" x14ac:dyDescent="0.25">
      <c r="A1" s="24" t="s">
        <v>1069</v>
      </c>
    </row>
    <row r="2" spans="1:15" s="25" customFormat="1" ht="15" x14ac:dyDescent="0.25">
      <c r="C2" s="120" t="s">
        <v>1028</v>
      </c>
      <c r="D2" s="26"/>
      <c r="N2" s="26"/>
      <c r="O2" s="26"/>
    </row>
    <row r="3" spans="1:15" s="25" customFormat="1" ht="15" x14ac:dyDescent="0.25">
      <c r="A3" s="187" t="s">
        <v>1018</v>
      </c>
      <c r="B3" s="187"/>
      <c r="C3" s="26"/>
      <c r="N3" s="26"/>
      <c r="O3" s="26"/>
    </row>
    <row r="4" spans="1:15" s="25" customFormat="1" ht="15" x14ac:dyDescent="0.25">
      <c r="A4" s="105" t="str">
        <f>IF(E21="yes",D25,A21)</f>
        <v>High Pressure</v>
      </c>
      <c r="B4" s="113">
        <f>IF(E21="yes",E25,B21)</f>
        <v>1268657.8356164386</v>
      </c>
      <c r="C4" s="26"/>
      <c r="N4" s="26"/>
      <c r="O4" s="26"/>
    </row>
    <row r="5" spans="1:15" s="25" customFormat="1" ht="15" x14ac:dyDescent="0.25">
      <c r="A5" s="121" t="str">
        <f>IF(E21="yes",D26,A22)</f>
        <v>Reduced Pressure Service</v>
      </c>
      <c r="B5" s="122">
        <f>IF(E21="yes",E26,B22)</f>
        <v>746910.19520547939</v>
      </c>
      <c r="C5" s="26"/>
      <c r="N5" s="26"/>
      <c r="O5" s="26"/>
    </row>
    <row r="6" spans="1:15" s="25" customFormat="1" ht="15" x14ac:dyDescent="0.25">
      <c r="A6" s="105" t="str">
        <f>A23</f>
        <v xml:space="preserve">Energy in Cash </v>
      </c>
      <c r="B6" s="114">
        <f>B23</f>
        <v>0</v>
      </c>
      <c r="C6" s="26"/>
      <c r="N6" s="26"/>
      <c r="O6" s="26"/>
    </row>
    <row r="7" spans="1:15" s="25" customFormat="1" ht="15" x14ac:dyDescent="0.25">
      <c r="A7" s="112" t="str">
        <f>IF(E21="yes","(none)",A24)</f>
        <v>Odorisation</v>
      </c>
      <c r="B7" s="114">
        <f>IF(E21="yes"," ",B24)</f>
        <v>0</v>
      </c>
      <c r="C7" s="26"/>
      <c r="N7" s="26"/>
      <c r="O7" s="26"/>
    </row>
    <row r="8" spans="1:15" s="25" customFormat="1" ht="15" x14ac:dyDescent="0.25">
      <c r="A8" s="108" t="s">
        <v>965</v>
      </c>
      <c r="B8" s="111">
        <f>SUM(B4:B7)</f>
        <v>2015568.030821918</v>
      </c>
      <c r="C8" s="26"/>
      <c r="N8" s="26"/>
      <c r="O8" s="26"/>
    </row>
    <row r="9" spans="1:15" s="25" customFormat="1" ht="15" x14ac:dyDescent="0.25">
      <c r="C9" s="26"/>
      <c r="N9" s="26"/>
      <c r="O9" s="26"/>
    </row>
    <row r="10" spans="1:15" s="25" customFormat="1" ht="15" x14ac:dyDescent="0.25">
      <c r="A10" s="188" t="s">
        <v>962</v>
      </c>
      <c r="B10" s="189"/>
      <c r="C10" s="190"/>
      <c r="N10" s="26"/>
      <c r="O10" s="26"/>
    </row>
    <row r="11" spans="1:15" s="25" customFormat="1" ht="15" x14ac:dyDescent="0.25">
      <c r="A11" s="31"/>
      <c r="B11" s="41" t="s">
        <v>961</v>
      </c>
      <c r="C11" s="39" t="s">
        <v>1</v>
      </c>
      <c r="N11" s="26"/>
      <c r="O11" s="26"/>
    </row>
    <row r="12" spans="1:15" s="25" customFormat="1" ht="15" x14ac:dyDescent="0.25">
      <c r="A12" s="31" t="s">
        <v>917</v>
      </c>
      <c r="B12" s="43">
        <f>IF($B$27="H-zone",Parameters!B8,Parameters!B14)</f>
        <v>1.048</v>
      </c>
      <c r="C12" s="32" t="s">
        <v>960</v>
      </c>
      <c r="N12" s="26"/>
      <c r="O12" s="26"/>
    </row>
    <row r="13" spans="1:15" s="25" customFormat="1" ht="15" x14ac:dyDescent="0.25">
      <c r="A13" s="137" t="s">
        <v>1027</v>
      </c>
      <c r="B13" s="119">
        <f>IF($B$27="H-zone",Parameters!B9,Parameters!B15)</f>
        <v>0.61699999999999999</v>
      </c>
      <c r="C13" s="119" t="s">
        <v>960</v>
      </c>
      <c r="N13" s="26"/>
      <c r="O13" s="26"/>
    </row>
    <row r="14" spans="1:15" s="25" customFormat="1" ht="15" x14ac:dyDescent="0.25">
      <c r="A14" s="31" t="s">
        <v>916</v>
      </c>
      <c r="B14" s="43">
        <f>IF($B$27="H-zone",Parameters!B10,Parameters!B16)</f>
        <v>8.72E-2</v>
      </c>
      <c r="C14" s="43" t="s">
        <v>959</v>
      </c>
      <c r="N14" s="26"/>
      <c r="O14" s="26"/>
    </row>
    <row r="15" spans="1:15" s="25" customFormat="1" ht="15" x14ac:dyDescent="0.25">
      <c r="C15" s="26"/>
      <c r="N15" s="26"/>
      <c r="O15" s="26"/>
    </row>
    <row r="16" spans="1:15" s="25" customFormat="1" ht="15" x14ac:dyDescent="0.25">
      <c r="A16" s="29" t="s">
        <v>999</v>
      </c>
      <c r="B16" s="30">
        <f ca="1">TODAY()</f>
        <v>43679</v>
      </c>
      <c r="C16" s="26"/>
      <c r="H16" s="27"/>
      <c r="I16" s="28"/>
      <c r="N16" s="26"/>
      <c r="O16" s="26"/>
    </row>
    <row r="17" spans="1:15" s="25" customFormat="1" ht="15" x14ac:dyDescent="0.25">
      <c r="A17" s="191"/>
      <c r="B17" s="191"/>
      <c r="C17" s="26"/>
      <c r="D17" s="26"/>
      <c r="I17" s="28"/>
      <c r="N17" s="26"/>
      <c r="O17" s="26"/>
    </row>
    <row r="18" spans="1:15" s="25" customFormat="1" ht="15" x14ac:dyDescent="0.25">
      <c r="A18" s="31" t="s">
        <v>1067</v>
      </c>
      <c r="B18" s="43" t="str">
        <f>CONCATENATE("Subscribing"," ",TEXT(Simulation!G10,"###.###")," ",Simulation!H10," ","from"," ",TEXT(Simulation!G11,"dd mmmm yyyy")," ","to"," ",TEXT(Simulation!G12,"dd mmmm yyyy")," on ",Simulation!G9," (",B27,")"," will cost a total of ",TEXT(B8,"€ ###.###"))</f>
        <v>Subscribing 1.500.000 kWh/h from 01 January 2020 to 30 June 2020 on 3B FIBREGLASS SPRL BATTICE (H-Zone) will cost a total of € 2.015.568</v>
      </c>
      <c r="C18" s="26"/>
      <c r="D18" s="26"/>
      <c r="I18" s="28"/>
      <c r="N18" s="26"/>
      <c r="O18" s="26"/>
    </row>
    <row r="19" spans="1:15" s="25" customFormat="1" ht="15" x14ac:dyDescent="0.25">
      <c r="C19" s="26"/>
      <c r="D19" s="26"/>
      <c r="I19" s="28"/>
      <c r="N19" s="26"/>
      <c r="O19" s="26"/>
    </row>
    <row r="20" spans="1:15" s="25" customFormat="1" ht="15" x14ac:dyDescent="0.25">
      <c r="A20" s="187" t="s">
        <v>980</v>
      </c>
      <c r="B20" s="187"/>
      <c r="C20" s="26"/>
      <c r="D20" s="193" t="s">
        <v>1019</v>
      </c>
      <c r="E20" s="193"/>
      <c r="F20" s="96" t="s">
        <v>1013</v>
      </c>
      <c r="I20" s="28"/>
      <c r="N20" s="26"/>
      <c r="O20" s="26"/>
    </row>
    <row r="21" spans="1:15" s="25" customFormat="1" ht="15" x14ac:dyDescent="0.25">
      <c r="A21" s="33" t="s">
        <v>963</v>
      </c>
      <c r="B21" s="34">
        <f>SUM(O36:O107)</f>
        <v>1268657.8356164386</v>
      </c>
      <c r="C21" s="26"/>
      <c r="D21" s="105" t="s">
        <v>1017</v>
      </c>
      <c r="E21" s="32" t="str">
        <f>IF(Simulation!G9="GERRESHEIMER MOMIGNIES","Yes",IF(Simulation!G9="WIENERBERGER VELDWEZELT","Yes","No"))</f>
        <v>No</v>
      </c>
      <c r="I21" s="28"/>
      <c r="N21" s="26"/>
      <c r="O21" s="26"/>
    </row>
    <row r="22" spans="1:15" s="25" customFormat="1" ht="15" x14ac:dyDescent="0.25">
      <c r="A22" s="33" t="s">
        <v>1029</v>
      </c>
      <c r="B22" s="34">
        <f>SUM(P36:P107)</f>
        <v>746910.19520547939</v>
      </c>
      <c r="C22" s="26"/>
      <c r="D22" s="101" t="s">
        <v>1012</v>
      </c>
      <c r="E22" s="102">
        <f>IF(Simulation!G9="GERRESHEIMER MOMIGNIES",Parameters!B37,IF(Simulation!G9="WIENERBERGER VELDWEZELT",Parameters!C37,0))</f>
        <v>0</v>
      </c>
      <c r="F22" s="96" t="s">
        <v>1005</v>
      </c>
      <c r="I22" s="28"/>
      <c r="N22" s="26"/>
      <c r="O22" s="26"/>
    </row>
    <row r="23" spans="1:15" s="25" customFormat="1" ht="15" x14ac:dyDescent="0.25">
      <c r="A23" s="31" t="s">
        <v>978</v>
      </c>
      <c r="B23" s="34">
        <f>(Parameters!B18/100)*Simulation!G13*Simulation!G14</f>
        <v>0</v>
      </c>
      <c r="C23" s="26"/>
      <c r="D23" s="101" t="s">
        <v>1014</v>
      </c>
      <c r="E23" s="103">
        <f>IF(Simulation!G9="GERRESHEIMER MOMIGNIES",Parameters!B38,IF(Simulation!G9="WIENERBERGER VELDWEZELT",Parameters!C38,0))</f>
        <v>0</v>
      </c>
      <c r="F23" s="96" t="s">
        <v>1008</v>
      </c>
      <c r="I23" s="28"/>
      <c r="N23" s="26"/>
      <c r="O23" s="26"/>
    </row>
    <row r="24" spans="1:15" s="25" customFormat="1" ht="15" x14ac:dyDescent="0.25">
      <c r="A24" s="33" t="s">
        <v>979</v>
      </c>
      <c r="B24" s="35">
        <f>B14*Simulation!G13*B30</f>
        <v>0</v>
      </c>
      <c r="C24" s="26"/>
      <c r="D24" s="97" t="s">
        <v>1015</v>
      </c>
      <c r="E24" s="104">
        <f>IF(Simulation!G9="GERRESHEIMER MOMIGNIES",Parameters!B39,IF(Simulation!G9="WIENERBERGER VELDWEZELT",Parameters!B40,0))</f>
        <v>0</v>
      </c>
      <c r="F24" s="106" t="s">
        <v>1016</v>
      </c>
      <c r="I24" s="28"/>
      <c r="N24" s="26"/>
      <c r="O24" s="26"/>
    </row>
    <row r="25" spans="1:15" s="25" customFormat="1" ht="15" x14ac:dyDescent="0.25">
      <c r="A25" s="31" t="s">
        <v>965</v>
      </c>
      <c r="B25" s="37">
        <f>SUM(B21:B24)</f>
        <v>2015568.030821918</v>
      </c>
      <c r="D25" s="105" t="s">
        <v>1001</v>
      </c>
      <c r="E25" s="107">
        <f>SUM(Q36:Q107)</f>
        <v>0</v>
      </c>
      <c r="F25" s="106"/>
      <c r="I25" s="28"/>
      <c r="N25" s="26"/>
      <c r="O25" s="26"/>
    </row>
    <row r="26" spans="1:15" s="25" customFormat="1" ht="15" x14ac:dyDescent="0.25">
      <c r="C26" s="26"/>
      <c r="D26" s="105" t="s">
        <v>1002</v>
      </c>
      <c r="E26" s="107">
        <f>SUM(R36:R107)</f>
        <v>0</v>
      </c>
      <c r="F26" s="106"/>
      <c r="H26" s="38"/>
      <c r="I26" s="28"/>
      <c r="N26" s="26"/>
      <c r="O26" s="26"/>
    </row>
    <row r="27" spans="1:15" s="25" customFormat="1" ht="15" x14ac:dyDescent="0.25">
      <c r="A27" s="39" t="s">
        <v>964</v>
      </c>
      <c r="B27" s="40" t="str">
        <f>VLOOKUP(Simulation!$G$9,'Industr. Clients + Power Plants'!$A$2:$R$229,12,TRUE)</f>
        <v>H-Zone</v>
      </c>
      <c r="C27" s="26"/>
      <c r="D27" s="109"/>
      <c r="E27" s="110"/>
      <c r="H27" s="42"/>
      <c r="I27" s="28"/>
      <c r="N27" s="26"/>
      <c r="O27" s="26"/>
    </row>
    <row r="28" spans="1:15" s="25" customFormat="1" ht="15" x14ac:dyDescent="0.25">
      <c r="A28" s="33" t="s">
        <v>963</v>
      </c>
      <c r="B28" s="32">
        <f>VLOOKUP(Simulation!$G$9,'Industr. Clients + Power Plants'!$A$2:$R$229,13,TRUE)</f>
        <v>1</v>
      </c>
      <c r="C28" s="26"/>
      <c r="H28" s="44"/>
      <c r="I28" s="28"/>
      <c r="N28" s="26"/>
      <c r="O28" s="26"/>
    </row>
    <row r="29" spans="1:15" s="25" customFormat="1" ht="15" x14ac:dyDescent="0.25">
      <c r="A29" s="33" t="s">
        <v>1029</v>
      </c>
      <c r="B29" s="32">
        <f>VLOOKUP(Simulation!$G$9,'Industr. Clients + Power Plants'!$A$2:$R$229,14,TRUE)</f>
        <v>1</v>
      </c>
      <c r="C29" s="26"/>
      <c r="H29" s="44"/>
      <c r="I29" s="28"/>
      <c r="N29" s="26"/>
      <c r="O29" s="26"/>
    </row>
    <row r="30" spans="1:15" s="25" customFormat="1" ht="15" x14ac:dyDescent="0.25">
      <c r="A30" s="33" t="s">
        <v>916</v>
      </c>
      <c r="B30" s="32">
        <f>VLOOKUP(Simulation!$G$9,'Industr. Clients + Power Plants'!$A$2:$R$229,15,TRUE)</f>
        <v>0</v>
      </c>
      <c r="C30" s="26"/>
      <c r="D30" s="26"/>
      <c r="H30" s="48"/>
      <c r="I30" s="47"/>
      <c r="J30" s="49"/>
      <c r="N30" s="26"/>
      <c r="O30" s="26"/>
    </row>
    <row r="31" spans="1:15" s="25" customFormat="1" ht="15" x14ac:dyDescent="0.25">
      <c r="C31" s="26"/>
      <c r="D31" s="26"/>
      <c r="H31" s="50"/>
      <c r="I31" s="45"/>
      <c r="J31" s="50"/>
      <c r="N31" s="26"/>
      <c r="O31" s="26"/>
    </row>
    <row r="32" spans="1:15" s="25" customFormat="1" ht="15" x14ac:dyDescent="0.25">
      <c r="A32" s="39" t="s">
        <v>958</v>
      </c>
      <c r="B32" s="32">
        <f>Simulation!G12-Simulation!G11+1</f>
        <v>182</v>
      </c>
      <c r="C32" s="48"/>
      <c r="D32" s="48"/>
      <c r="G32" s="51"/>
      <c r="H32" s="51"/>
      <c r="I32" s="28"/>
      <c r="N32" s="26"/>
      <c r="O32" s="26"/>
    </row>
    <row r="33" spans="1:18" s="25" customFormat="1" ht="15" x14ac:dyDescent="0.25">
      <c r="A33" s="42"/>
      <c r="B33" s="44"/>
      <c r="C33" s="48"/>
      <c r="D33" s="48"/>
      <c r="G33" s="52"/>
      <c r="H33" s="52"/>
      <c r="I33" s="53"/>
      <c r="N33" s="26"/>
      <c r="O33" s="26"/>
    </row>
    <row r="34" spans="1:18" s="44" customFormat="1" ht="15" x14ac:dyDescent="0.25">
      <c r="A34" s="54"/>
      <c r="B34" s="55"/>
      <c r="C34" s="48"/>
      <c r="D34" s="192"/>
      <c r="E34" s="192"/>
      <c r="F34" s="56"/>
      <c r="I34" s="57"/>
      <c r="M34" s="58"/>
      <c r="N34" s="58"/>
      <c r="O34" s="48"/>
    </row>
    <row r="35" spans="1:18" s="50" customFormat="1" ht="15" x14ac:dyDescent="0.25">
      <c r="A35" s="39" t="s">
        <v>957</v>
      </c>
      <c r="B35" s="39" t="s">
        <v>956</v>
      </c>
      <c r="C35" s="39" t="s">
        <v>955</v>
      </c>
      <c r="D35" s="59" t="s">
        <v>954</v>
      </c>
      <c r="E35" s="59" t="s">
        <v>953</v>
      </c>
      <c r="F35" s="31" t="s">
        <v>983</v>
      </c>
      <c r="G35" s="31" t="s">
        <v>984</v>
      </c>
      <c r="H35" s="31" t="s">
        <v>992</v>
      </c>
      <c r="I35" s="31" t="s">
        <v>987</v>
      </c>
      <c r="J35" s="31" t="s">
        <v>993</v>
      </c>
      <c r="K35" s="31" t="s">
        <v>994</v>
      </c>
      <c r="L35" s="36" t="s">
        <v>995</v>
      </c>
      <c r="M35" s="36" t="s">
        <v>985</v>
      </c>
      <c r="N35" s="31" t="s">
        <v>986</v>
      </c>
      <c r="O35" s="59" t="s">
        <v>952</v>
      </c>
      <c r="P35" s="123" t="s">
        <v>1030</v>
      </c>
      <c r="Q35" s="39" t="s">
        <v>1020</v>
      </c>
      <c r="R35" s="39" t="s">
        <v>1002</v>
      </c>
    </row>
    <row r="36" spans="1:18" s="25" customFormat="1" ht="15" x14ac:dyDescent="0.25">
      <c r="A36" s="60">
        <v>43101</v>
      </c>
      <c r="B36" s="61">
        <v>43101</v>
      </c>
      <c r="C36" s="62">
        <f>MAX(0,MIN(EOMONTH(B36,0),Simulation!$G$12)-MAX(B36,Simulation!$G$11)+1)</f>
        <v>0</v>
      </c>
      <c r="D36" s="181" t="str">
        <f>IF(B109=2,IF(B32&gt;=28,"no","yes"),IF(OR(B109=4,B109=6,B109=9,B109=11),IF(B32&gt;=30,"No","yes"),IF(B32&gt;=31,"No","Yes")))</f>
        <v>No</v>
      </c>
      <c r="E36" s="194">
        <f>IF(D36="yes",5,1)</f>
        <v>1</v>
      </c>
      <c r="F36" s="62">
        <f>Parameters!B21</f>
        <v>2.5375000000000001</v>
      </c>
      <c r="G36" s="63">
        <f t="shared" ref="G36:G67" si="0">DAY(EOMONTH(A36,0))</f>
        <v>31</v>
      </c>
      <c r="H36" s="185">
        <f>IF(Simulation!$G$12&gt;=$B$111,IF(Simulation!$G$12&gt;=$B$112,IF(Simulation!$G$12&gt;=$B$113,IF(Simulation!$G$12=$B$114,4,3),2),1),0)</f>
        <v>0</v>
      </c>
      <c r="I36" s="64">
        <f>IF(Simulation!$G$12&gt;=$B$111,IF(AND(YEAR(Simulation!$G$11)=YEAR(A36),MONTH(A36)=MONTH(Simulation!$G$11)),1,0),0)</f>
        <v>0</v>
      </c>
      <c r="J36" s="65">
        <f>IF($H$36=0,0,IF($H$36=1,SUM(I25:I36),IF($H$36=2,SUM(I16:I36),IF($H$36=3,SUM(I16:I36),IF($H$36=4,SUM(I16:I36),"more than 4 years")))))</f>
        <v>0</v>
      </c>
      <c r="K36" s="66" t="str">
        <f t="shared" ref="K36:K67" si="1">IF((M36+N36)&lt;&gt;C36,"issue","ok")</f>
        <v>ok</v>
      </c>
      <c r="L36" s="66">
        <f>IF(J36=1,IF(J37=0,IF(DAY(Simulation!$G$11)=1,0,DAY(Simulation!$G$11)-1),0),0)</f>
        <v>0</v>
      </c>
      <c r="M36" s="63">
        <f>IF(AND(J35=1,J36=1,J37=0,DAY(Simulation!$G$11)=1),0,IF(J36=1,IF(L36&lt;&gt;0,L36,C36),0))</f>
        <v>0</v>
      </c>
      <c r="N36" s="67">
        <f t="shared" ref="N36:N67" si="2">MAX(0,C36-M36)</f>
        <v>0</v>
      </c>
      <c r="O36" s="68">
        <f>IF($E$36=5,(($B$28*$B$12)/365)*$C36*$E$36*$F36*Simulation!$G$10,((($B$28*$B$12)/365)*$M36*Simulation!$G$10)+(($B$28*$B$12)/365)*$N36*$F36*Simulation!$G$10)</f>
        <v>0</v>
      </c>
      <c r="P36" s="69">
        <f>IF($E$36=5,(($B$29*$B$13)/365)*$C36*$E$36*$F36*Simulation!$G$10,((($B$29*$B$13)/365)*$M36*Simulation!$G$10)+(($B$29*$B$13)/365)*$N36*$F36*Simulation!$G$10)</f>
        <v>0</v>
      </c>
      <c r="Q36" s="107">
        <f>IF($E$36=5,($E$22/365)*$C36*$E$36*$F36*Simulation!$G$10,(($E$22/365)*$M36*Simulation!$G$10)+($E$22/365)*$N36*$F36*Simulation!$G$10)</f>
        <v>0</v>
      </c>
      <c r="R36" s="107">
        <f>IF($E$36=5,($E$23*$E$24/365)*$C36*$E$36*$F36*Simulation!$G$10,(($E$23*$E$24/365)*$M36*Simulation!$G$10)+($E$23*$E$24/365)*$N36*$F36*Simulation!$G$10)</f>
        <v>0</v>
      </c>
    </row>
    <row r="37" spans="1:18" s="25" customFormat="1" ht="15" x14ac:dyDescent="0.25">
      <c r="A37" s="60">
        <v>43132</v>
      </c>
      <c r="B37" s="61">
        <v>43132</v>
      </c>
      <c r="C37" s="62">
        <f>MAX(0,MIN(EOMONTH(B37,0),Simulation!$G$12)-MAX(B37,Simulation!$G$11)+1)</f>
        <v>0</v>
      </c>
      <c r="D37" s="182"/>
      <c r="E37" s="195"/>
      <c r="F37" s="62">
        <f>Parameters!B22</f>
        <v>2.2475000000000001</v>
      </c>
      <c r="G37" s="63">
        <f t="shared" si="0"/>
        <v>28</v>
      </c>
      <c r="H37" s="186"/>
      <c r="I37" s="64">
        <f>IF(Simulation!$G$12&gt;=$B$111,IF(AND(YEAR(Simulation!$G$11)=YEAR(A37),MONTH(A37)=MONTH(Simulation!$G$11)),1,0),0)</f>
        <v>0</v>
      </c>
      <c r="J37" s="65">
        <f>IF($H$36=0,0,IF($H$36=1,SUM(I26:I37),IF($H$36=2,SUM(I17:I37),IF($H$36=3,SUM(I16:I37),IF($H$36=4,SUM(I16:I37),"more than 4 years")))))</f>
        <v>0</v>
      </c>
      <c r="K37" s="66" t="str">
        <f t="shared" si="1"/>
        <v>ok</v>
      </c>
      <c r="L37" s="66">
        <f>IF(J37=1,IF(J38=0,IF(DAY(Simulation!$G$11)=1,0,DAY(Simulation!$G$11)-1),0),0)</f>
        <v>0</v>
      </c>
      <c r="M37" s="63">
        <f>IF(AND(J36=1,J37=1,J38=0,DAY(Simulation!$G$11)=1),0,IF(J37=1,IF(L37&lt;&gt;0,L37,C37),0))</f>
        <v>0</v>
      </c>
      <c r="N37" s="67">
        <f t="shared" si="2"/>
        <v>0</v>
      </c>
      <c r="O37" s="68">
        <f>IF($E$36=5,(($B$28*$B$12)/365)*$C37*$E$36*$F37*Simulation!$G$10,((($B$28*$B$12)/365)*$M37*Simulation!$G$10)+(($B$28*$B$12)/365)*$N37*$F37*Simulation!$G$10)</f>
        <v>0</v>
      </c>
      <c r="P37" s="69">
        <f>IF($E$36=5,(($B$29*$B$13)/365)*$C37*$E$36*$F37*Simulation!$G$10,((($B$29*$B$13)/365)*$M37*Simulation!$G$10)+(($B$29*$B$13)/365)*$N37*$F37*Simulation!$G$10)</f>
        <v>0</v>
      </c>
      <c r="Q37" s="107">
        <f>IF($E$36=5,($E$22/365)*$C37*$E$36*$F37*Simulation!$G$10,(($E$22/365)*$M37*Simulation!$G$10)+($E$22/365)*$N37*$F37*Simulation!$G$10)</f>
        <v>0</v>
      </c>
      <c r="R37" s="107">
        <f>IF($E$36=5,($E$23*$E$24/365)*$C37*$E$36*$F37*Simulation!$G$10,(($E$23*$E$24/365)*$M37*Simulation!$G$10)+($E$23*$E$24/365)*$N37*$F37*Simulation!$G$10)</f>
        <v>0</v>
      </c>
    </row>
    <row r="38" spans="1:18" s="25" customFormat="1" ht="15" x14ac:dyDescent="0.25">
      <c r="A38" s="60">
        <v>43160</v>
      </c>
      <c r="B38" s="61">
        <v>43160</v>
      </c>
      <c r="C38" s="62">
        <f>MAX(0,MIN(EOMONTH(B38,0),Simulation!$G$12)-MAX(B38,Simulation!$G$11)+1)</f>
        <v>0</v>
      </c>
      <c r="D38" s="182"/>
      <c r="E38" s="195"/>
      <c r="F38" s="62">
        <f>Parameters!B23</f>
        <v>1.885</v>
      </c>
      <c r="G38" s="63">
        <f t="shared" si="0"/>
        <v>31</v>
      </c>
      <c r="H38" s="186"/>
      <c r="I38" s="64">
        <f>IF(Simulation!$G$12&gt;=$B$111,IF(AND(YEAR(Simulation!$G$11)=YEAR(A38),MONTH(A38)=MONTH(Simulation!$G$11)),1,0),0)</f>
        <v>0</v>
      </c>
      <c r="J38" s="65">
        <f>IF($H$36=0,0,IF($H$36=1,SUM(I27:I38),IF($H$36=2,SUM(I17:I38),IF($H$36=3,SUM(I16:I38),IF($H$36=4,SUM(I16:I38),"more than 4 years")))))</f>
        <v>0</v>
      </c>
      <c r="K38" s="66" t="str">
        <f t="shared" si="1"/>
        <v>ok</v>
      </c>
      <c r="L38" s="66">
        <f>IF(J38=1,IF(J39=0,IF(DAY(Simulation!$G$11)=1,0,DAY(Simulation!$G$11)-1),0),0)</f>
        <v>0</v>
      </c>
      <c r="M38" s="63">
        <f>IF(AND(J37=1,J38=1,J39=0,DAY(Simulation!$G$11)=1),0,IF(J38=1,IF(L38&lt;&gt;0,L38,C38),0))</f>
        <v>0</v>
      </c>
      <c r="N38" s="67">
        <f t="shared" si="2"/>
        <v>0</v>
      </c>
      <c r="O38" s="68">
        <f>IF($E$36=5,(($B$28*$B$12)/365)*$C38*$E$36*$F38*Simulation!$G$10,((($B$28*$B$12)/365)*$M38*Simulation!$G$10)+(($B$28*$B$12)/365)*$N38*$F38*Simulation!$G$10)</f>
        <v>0</v>
      </c>
      <c r="P38" s="69">
        <f>IF($E$36=5,(($B$29*$B$13)/365)*$C38*$E$36*$F38*Simulation!$G$10,((($B$29*$B$13)/365)*$M38*Simulation!$G$10)+(($B$29*$B$13)/365)*$N38*$F38*Simulation!$G$10)</f>
        <v>0</v>
      </c>
      <c r="Q38" s="107">
        <f>IF($E$36=5,($E$22/365)*$C38*$E$36*$F38*Simulation!$G$10,(($E$22/365)*$M38*Simulation!$G$10)+($E$22/365)*$N38*$F38*Simulation!$G$10)</f>
        <v>0</v>
      </c>
      <c r="R38" s="107">
        <f>IF($E$36=5,($E$23*$E$24/365)*$C38*$E$36*$F38*Simulation!$G$10,(($E$23*$E$24/365)*$M38*Simulation!$G$10)+($E$23*$E$24/365)*$N38*$F38*Simulation!$G$10)</f>
        <v>0</v>
      </c>
    </row>
    <row r="39" spans="1:18" s="25" customFormat="1" ht="15" x14ac:dyDescent="0.25">
      <c r="A39" s="60">
        <v>43191</v>
      </c>
      <c r="B39" s="61">
        <v>43191</v>
      </c>
      <c r="C39" s="62">
        <f>MAX(0,MIN(EOMONTH(B39,0),Simulation!$G$12)-MAX(B39,Simulation!$G$11)+1)</f>
        <v>0</v>
      </c>
      <c r="D39" s="182"/>
      <c r="E39" s="195"/>
      <c r="F39" s="62">
        <f>Parameters!B24</f>
        <v>1.3774999999999999</v>
      </c>
      <c r="G39" s="63">
        <f t="shared" si="0"/>
        <v>30</v>
      </c>
      <c r="H39" s="186"/>
      <c r="I39" s="64">
        <f>IF(Simulation!$G$12&gt;=$B$111,IF(AND(YEAR(Simulation!$G$11)=YEAR(A39),MONTH(A39)=MONTH(Simulation!$G$11)),1,0),0)</f>
        <v>0</v>
      </c>
      <c r="J39" s="65">
        <f>IF($H$36=0,0,IF($H$36=1,SUM(I28:I39),IF($H$36=2,SUM(I17:I39),IF($H$36=3,SUM(I16:I39),IF($H$36=4,SUM(I16:I39),"more than 4 years")))))</f>
        <v>0</v>
      </c>
      <c r="K39" s="66" t="str">
        <f t="shared" si="1"/>
        <v>ok</v>
      </c>
      <c r="L39" s="66">
        <f>IF(J39=1,IF(J40=0,IF(DAY(Simulation!$G$11)=1,0,DAY(Simulation!$G$11)-1),0),0)</f>
        <v>0</v>
      </c>
      <c r="M39" s="63">
        <f>IF(AND(J38=1,J39=1,J40=0,DAY(Simulation!$G$11)=1),0,IF(J39=1,IF(L39&lt;&gt;0,L39,C39),0))</f>
        <v>0</v>
      </c>
      <c r="N39" s="67">
        <f t="shared" si="2"/>
        <v>0</v>
      </c>
      <c r="O39" s="68">
        <f>IF($E$36=5,(($B$28*$B$12)/365)*$C39*$E$36*$F39*Simulation!$G$10,((($B$28*$B$12)/365)*$M39*Simulation!$G$10)+(($B$28*$B$12)/365)*$N39*$F39*Simulation!$G$10)</f>
        <v>0</v>
      </c>
      <c r="P39" s="69">
        <f>IF($E$36=5,(($B$29*$B$13)/365)*$C39*$E$36*$F39*Simulation!$G$10,((($B$29*$B$13)/365)*$M39*Simulation!$G$10)+(($B$29*$B$13)/365)*$N39*$F39*Simulation!$G$10)</f>
        <v>0</v>
      </c>
      <c r="Q39" s="107">
        <f>IF($E$36=5,($E$22/365)*$C39*$E$36*$F39*Simulation!$G$10,(($E$22/365)*$M39*Simulation!$G$10)+($E$22/365)*$N39*$F39*Simulation!$G$10)</f>
        <v>0</v>
      </c>
      <c r="R39" s="107">
        <f>IF($E$36=5,($E$23*$E$24/365)*$C39*$E$36*$F39*Simulation!$G$10,(($E$23*$E$24/365)*$M39*Simulation!$G$10)+($E$23*$E$24/365)*$N39*$F39*Simulation!$G$10)</f>
        <v>0</v>
      </c>
    </row>
    <row r="40" spans="1:18" s="25" customFormat="1" ht="15" x14ac:dyDescent="0.25">
      <c r="A40" s="60">
        <v>43221</v>
      </c>
      <c r="B40" s="61">
        <v>43221</v>
      </c>
      <c r="C40" s="62">
        <f>MAX(0,MIN(EOMONTH(B40,0),Simulation!$G$12)-MAX(B40,Simulation!$G$11)+1)</f>
        <v>0</v>
      </c>
      <c r="D40" s="182"/>
      <c r="E40" s="195"/>
      <c r="F40" s="62">
        <f>Parameters!B25</f>
        <v>0.9425</v>
      </c>
      <c r="G40" s="63">
        <f t="shared" si="0"/>
        <v>31</v>
      </c>
      <c r="H40" s="186"/>
      <c r="I40" s="64">
        <f>IF(Simulation!$G$12&gt;=$B$111,IF(AND(YEAR(Simulation!$G$11)=YEAR(A40),MONTH(A40)=MONTH(Simulation!$G$11)),1,0),0)</f>
        <v>0</v>
      </c>
      <c r="J40" s="65">
        <f>IF($H$36=0,0,IF($H$36=1,SUM(I30:I40),IF($H$36=2,SUM(I18:I40),IF($H$36=3,SUM(I16:I40),IF($H$36=4,SUM(I16:I40),"more than 4 years")))))</f>
        <v>0</v>
      </c>
      <c r="K40" s="66" t="str">
        <f t="shared" si="1"/>
        <v>ok</v>
      </c>
      <c r="L40" s="66">
        <f>IF(J40=1,IF(J41=0,IF(DAY(Simulation!$G$11)=1,0,DAY(Simulation!$G$11)-1),0),0)</f>
        <v>0</v>
      </c>
      <c r="M40" s="63">
        <f>IF(AND(J39=1,J40=1,J41=0,DAY(Simulation!$G$11)=1),0,IF(J40=1,IF(L40&lt;&gt;0,L40,C40),0))</f>
        <v>0</v>
      </c>
      <c r="N40" s="67">
        <f t="shared" si="2"/>
        <v>0</v>
      </c>
      <c r="O40" s="68">
        <f>IF($E$36=5,(($B$28*$B$12)/365)*$C40*$E$36*$F40*Simulation!$G$10,((($B$28*$B$12)/365)*$M40*Simulation!$G$10)+(($B$28*$B$12)/365)*$N40*$F40*Simulation!$G$10)</f>
        <v>0</v>
      </c>
      <c r="P40" s="69">
        <f>IF($E$36=5,(($B$29*$B$13)/365)*$C40*$E$36*$F40*Simulation!$G$10,((($B$29*$B$13)/365)*$M40*Simulation!$G$10)+(($B$29*$B$13)/365)*$N40*$F40*Simulation!$G$10)</f>
        <v>0</v>
      </c>
      <c r="Q40" s="107">
        <f>IF($E$36=5,($E$22/365)*$C40*$E$36*$F40*Simulation!$G$10,(($E$22/365)*$M40*Simulation!$G$10)+($E$22/365)*$N40*$F40*Simulation!$G$10)</f>
        <v>0</v>
      </c>
      <c r="R40" s="107">
        <f>IF($E$36=5,($E$23*$E$24/365)*$C40*$E$36*$F40*Simulation!$G$10,(($E$23*$E$24/365)*$M40*Simulation!$G$10)+($E$23*$E$24/365)*$N40*$F40*Simulation!$G$10)</f>
        <v>0</v>
      </c>
    </row>
    <row r="41" spans="1:18" s="25" customFormat="1" ht="15" x14ac:dyDescent="0.25">
      <c r="A41" s="60">
        <v>43252</v>
      </c>
      <c r="B41" s="61">
        <v>43252</v>
      </c>
      <c r="C41" s="62">
        <f>MAX(0,MIN(EOMONTH(B41,0),Simulation!$G$12)-MAX(B41,Simulation!$G$11)+1)</f>
        <v>0</v>
      </c>
      <c r="D41" s="182"/>
      <c r="E41" s="195"/>
      <c r="F41" s="62">
        <f>Parameters!B26</f>
        <v>0.72499999999999998</v>
      </c>
      <c r="G41" s="63">
        <f t="shared" si="0"/>
        <v>30</v>
      </c>
      <c r="H41" s="186"/>
      <c r="I41" s="64">
        <f>IF(Simulation!$G$12&gt;=$B$111,IF(AND(YEAR(Simulation!$G$11)=YEAR(A41),MONTH(A41)=MONTH(Simulation!$G$11)),1,0),0)</f>
        <v>0</v>
      </c>
      <c r="J41" s="65">
        <f>IF($H$36=0,0,IF($H$36=1,SUM(I30:I41),IF($H$36=2,SUM(I19:I41),IF($H$36=3,SUM(I16:I41),IF($H$36=4,SUM(I16:I41),"more than 4 years")))))</f>
        <v>0</v>
      </c>
      <c r="K41" s="66" t="str">
        <f t="shared" si="1"/>
        <v>ok</v>
      </c>
      <c r="L41" s="66">
        <f>IF(J41=1,IF(J42=0,IF(DAY(Simulation!$G$11)=1,0,DAY(Simulation!$G$11)-1),0),0)</f>
        <v>0</v>
      </c>
      <c r="M41" s="63">
        <f>IF(AND(J40=1,J41=1,J42=0,DAY(Simulation!$G$11)=1),0,IF(J41=1,IF(L41&lt;&gt;0,L41,C41),0))</f>
        <v>0</v>
      </c>
      <c r="N41" s="67">
        <f t="shared" si="2"/>
        <v>0</v>
      </c>
      <c r="O41" s="68">
        <f>IF($E$36=5,(($B$28*$B$12)/365)*$C41*$E$36*$F41*Simulation!$G$10,((($B$28*$B$12)/365)*$M41*Simulation!$G$10)+(($B$28*$B$12)/365)*$N41*$F41*Simulation!$G$10)</f>
        <v>0</v>
      </c>
      <c r="P41" s="69">
        <f>IF($E$36=5,(($B$29*$B$13)/365)*$C41*$E$36*$F41*Simulation!$G$10,((($B$29*$B$13)/365)*$M41*Simulation!$G$10)+(($B$29*$B$13)/365)*$N41*$F41*Simulation!$G$10)</f>
        <v>0</v>
      </c>
      <c r="Q41" s="107">
        <f>IF($E$36=5,($E$22/365)*$C41*$E$36*$F41*Simulation!$G$10,(($E$22/365)*$M41*Simulation!$G$10)+($E$22/365)*$N41*$F41*Simulation!$G$10)</f>
        <v>0</v>
      </c>
      <c r="R41" s="107">
        <f>IF($E$36=5,($E$23*$E$24/365)*$C41*$E$36*$F41*Simulation!$G$10,(($E$23*$E$24/365)*$M41*Simulation!$G$10)+($E$23*$E$24/365)*$N41*$F41*Simulation!$G$10)</f>
        <v>0</v>
      </c>
    </row>
    <row r="42" spans="1:18" s="25" customFormat="1" ht="15" x14ac:dyDescent="0.25">
      <c r="A42" s="60">
        <v>43282</v>
      </c>
      <c r="B42" s="61">
        <v>43282</v>
      </c>
      <c r="C42" s="62">
        <f>MAX(0,MIN(EOMONTH(B42,0),Simulation!$G$12)-MAX(B42,Simulation!$G$11)+1)</f>
        <v>0</v>
      </c>
      <c r="D42" s="182"/>
      <c r="E42" s="195"/>
      <c r="F42" s="62">
        <f>Parameters!B27</f>
        <v>0.72499999999999998</v>
      </c>
      <c r="G42" s="63">
        <f t="shared" si="0"/>
        <v>31</v>
      </c>
      <c r="H42" s="186"/>
      <c r="I42" s="64">
        <f>IF(Simulation!$G$12&gt;=$B$111,IF(AND(YEAR(Simulation!$G$11)=YEAR(A42),MONTH(A42)=MONTH(Simulation!$G$11)),1,0),0)</f>
        <v>0</v>
      </c>
      <c r="J42" s="65">
        <f>IF($H$36=0,0,IF($H$36=1,SUM(I30:I42),IF($H$36=2,SUM(I20:I42),IF($H$36=3,SUM(I16:I42),IF($H$36=4,SUM(I16:I42),"more than 4 years")))))</f>
        <v>0</v>
      </c>
      <c r="K42" s="66" t="str">
        <f t="shared" si="1"/>
        <v>ok</v>
      </c>
      <c r="L42" s="66">
        <f>IF(J42=1,IF(J43=0,IF(DAY(Simulation!$G$11)=1,0,DAY(Simulation!$G$11)-1),0),0)</f>
        <v>0</v>
      </c>
      <c r="M42" s="63">
        <f>IF(AND(J41=1,J42=1,J43=0,DAY(Simulation!$G$11)=1),0,IF(J42=1,IF(L42&lt;&gt;0,L42,C42),0))</f>
        <v>0</v>
      </c>
      <c r="N42" s="67">
        <f t="shared" si="2"/>
        <v>0</v>
      </c>
      <c r="O42" s="68">
        <f>IF($E$36=5,(($B$28*$B$12)/365)*$C42*$E$36*$F42*Simulation!$G$10,((($B$28*$B$12)/365)*$M42*Simulation!$G$10)+(($B$28*$B$12)/365)*$N42*$F42*Simulation!$G$10)</f>
        <v>0</v>
      </c>
      <c r="P42" s="69">
        <f>IF($E$36=5,(($B$29*$B$13)/365)*$C42*$E$36*$F42*Simulation!$G$10,((($B$29*$B$13)/365)*$M42*Simulation!$G$10)+(($B$29*$B$13)/365)*$N42*$F42*Simulation!$G$10)</f>
        <v>0</v>
      </c>
      <c r="Q42" s="107">
        <f>IF($E$36=5,($E$22/365)*$C42*$E$36*$F42*Simulation!$G$10,(($E$22/365)*$M42*Simulation!$G$10)+($E$22/365)*$N42*$F42*Simulation!$G$10)</f>
        <v>0</v>
      </c>
      <c r="R42" s="107">
        <f>IF($E$36=5,($E$23*$E$24/365)*$C42*$E$36*$F42*Simulation!$G$10,(($E$23*$E$24/365)*$M42*Simulation!$G$10)+($E$23*$E$24/365)*$N42*$F42*Simulation!$G$10)</f>
        <v>0</v>
      </c>
    </row>
    <row r="43" spans="1:18" s="25" customFormat="1" ht="15" x14ac:dyDescent="0.25">
      <c r="A43" s="60">
        <v>43313</v>
      </c>
      <c r="B43" s="61">
        <v>43313</v>
      </c>
      <c r="C43" s="62">
        <f>MAX(0,MIN(EOMONTH(B43,0),Simulation!$G$12)-MAX(B43,Simulation!$G$11)+1)</f>
        <v>0</v>
      </c>
      <c r="D43" s="182"/>
      <c r="E43" s="195"/>
      <c r="F43" s="62">
        <f>Parameters!B28</f>
        <v>0.72499999999999998</v>
      </c>
      <c r="G43" s="63">
        <f t="shared" si="0"/>
        <v>31</v>
      </c>
      <c r="H43" s="186"/>
      <c r="I43" s="64">
        <f>IF(Simulation!$G$12&gt;=$B$111,IF(AND(YEAR(Simulation!$G$11)=YEAR(A43),MONTH(A43)=MONTH(Simulation!$G$11)),1,0),0)</f>
        <v>0</v>
      </c>
      <c r="J43" s="65">
        <f>IF($H$36=0,0,IF($H$36=1,SUM(I31:I43),IF($H$36=2,SUM(I21:I43),IF($H$36=3,SUM(I16:I43),IF($H$36=4,SUM(I16:I43),"more than 4 years")))))</f>
        <v>0</v>
      </c>
      <c r="K43" s="66" t="str">
        <f t="shared" si="1"/>
        <v>ok</v>
      </c>
      <c r="L43" s="66">
        <f>IF(J43=1,IF(J44=0,IF(DAY(Simulation!$G$11)=1,0,DAY(Simulation!$G$11)-1),0),0)</f>
        <v>0</v>
      </c>
      <c r="M43" s="63">
        <f>IF(AND(J42=1,J43=1,J44=0,DAY(Simulation!$G$11)=1),0,IF(J43=1,IF(L43&lt;&gt;0,L43,C43),0))</f>
        <v>0</v>
      </c>
      <c r="N43" s="67">
        <f t="shared" si="2"/>
        <v>0</v>
      </c>
      <c r="O43" s="68">
        <f>IF($E$36=5,(($B$28*$B$12)/365)*$C43*$E$36*$F43*Simulation!$G$10,((($B$28*$B$12)/365)*$M43*Simulation!$G$10)+(($B$28*$B$12)/365)*$N43*$F43*Simulation!$G$10)</f>
        <v>0</v>
      </c>
      <c r="P43" s="69">
        <f>IF($E$36=5,(($B$29*$B$13)/365)*$C43*$E$36*$F43*Simulation!$G$10,((($B$29*$B$13)/365)*$M43*Simulation!$G$10)+(($B$29*$B$13)/365)*$N43*$F43*Simulation!$G$10)</f>
        <v>0</v>
      </c>
      <c r="Q43" s="107">
        <f>IF($E$36=5,($E$22/365)*$C43*$E$36*$F43*Simulation!$G$10,(($E$22/365)*$M43*Simulation!$G$10)+($E$22/365)*$N43*$F43*Simulation!$G$10)</f>
        <v>0</v>
      </c>
      <c r="R43" s="107">
        <f>IF($E$36=5,($E$23*$E$24/365)*$C43*$E$36*$F43*Simulation!$G$10,(($E$23*$E$24/365)*$M43*Simulation!$G$10)+($E$23*$E$24/365)*$N43*$F43*Simulation!$G$10)</f>
        <v>0</v>
      </c>
    </row>
    <row r="44" spans="1:18" s="25" customFormat="1" ht="15" x14ac:dyDescent="0.25">
      <c r="A44" s="60">
        <v>43344</v>
      </c>
      <c r="B44" s="61">
        <v>43344</v>
      </c>
      <c r="C44" s="62">
        <f>MAX(0,MIN(EOMONTH(B44,0),Simulation!$G$12)-MAX(B44,Simulation!$G$11)+1)</f>
        <v>0</v>
      </c>
      <c r="D44" s="182"/>
      <c r="E44" s="195"/>
      <c r="F44" s="62">
        <f>Parameters!B29</f>
        <v>0.9425</v>
      </c>
      <c r="G44" s="63">
        <f t="shared" si="0"/>
        <v>30</v>
      </c>
      <c r="H44" s="186"/>
      <c r="I44" s="64">
        <f>IF(Simulation!$G$12&gt;=$B$111,IF(AND(YEAR(Simulation!$G$11)=YEAR(A44),MONTH(A44)=MONTH(Simulation!$G$11)),1,0),0)</f>
        <v>0</v>
      </c>
      <c r="J44" s="65">
        <f>IF($H$36=0,0,IF($H$36=1,SUM(I32:I44),IF($H$36=2,SUM(I22:I44),IF($H$36=3,SUM(I16:I44),IF($H$36=4,SUM(I16:I44),"more than 4 years")))))</f>
        <v>0</v>
      </c>
      <c r="K44" s="66" t="str">
        <f t="shared" si="1"/>
        <v>ok</v>
      </c>
      <c r="L44" s="66">
        <f>IF(J44=1,IF(J45=0,IF(DAY(Simulation!$G$11)=1,0,DAY(Simulation!$G$11)-1),0),0)</f>
        <v>0</v>
      </c>
      <c r="M44" s="63">
        <f>IF(AND(J43=1,J44=1,J45=0,DAY(Simulation!$G$11)=1),0,IF(J44=1,IF(L44&lt;&gt;0,L44,C44),0))</f>
        <v>0</v>
      </c>
      <c r="N44" s="67">
        <f t="shared" si="2"/>
        <v>0</v>
      </c>
      <c r="O44" s="68">
        <f>IF($E$36=5,(($B$28*$B$12)/365)*$C44*$E$36*$F44*Simulation!$G$10,((($B$28*$B$12)/365)*$M44*Simulation!$G$10)+(($B$28*$B$12)/365)*$N44*$F44*Simulation!$G$10)</f>
        <v>0</v>
      </c>
      <c r="P44" s="69">
        <f>IF($E$36=5,(($B$29*$B$13)/365)*$C44*$E$36*$F44*Simulation!$G$10,((($B$29*$B$13)/365)*$M44*Simulation!$G$10)+(($B$29*$B$13)/365)*$N44*$F44*Simulation!$G$10)</f>
        <v>0</v>
      </c>
      <c r="Q44" s="107">
        <f>IF($E$36=5,($E$22/365)*$C44*$E$36*$F44*Simulation!$G$10,(($E$22/365)*$M44*Simulation!$G$10)+($E$22/365)*$N44*$F44*Simulation!$G$10)</f>
        <v>0</v>
      </c>
      <c r="R44" s="107">
        <f>IF($E$36=5,($E$23*$E$24/365)*$C44*$E$36*$F44*Simulation!$G$10,(($E$23*$E$24/365)*$M44*Simulation!$G$10)+($E$23*$E$24/365)*$N44*$F44*Simulation!$G$10)</f>
        <v>0</v>
      </c>
    </row>
    <row r="45" spans="1:18" s="25" customFormat="1" ht="15" x14ac:dyDescent="0.25">
      <c r="A45" s="60">
        <v>43374</v>
      </c>
      <c r="B45" s="61">
        <v>43374</v>
      </c>
      <c r="C45" s="62">
        <f>MAX(0,MIN(EOMONTH(B45,0),Simulation!$G$12)-MAX(B45,Simulation!$G$11)+1)</f>
        <v>0</v>
      </c>
      <c r="D45" s="182"/>
      <c r="E45" s="195"/>
      <c r="F45" s="62">
        <f>Parameters!B30</f>
        <v>1.5225</v>
      </c>
      <c r="G45" s="63">
        <f t="shared" si="0"/>
        <v>31</v>
      </c>
      <c r="H45" s="186"/>
      <c r="I45" s="64">
        <f>IF(Simulation!$G$12&gt;=$B$111,IF(AND(YEAR(Simulation!$G$11)=YEAR(A45),MONTH(A45)=MONTH(Simulation!$G$11)),1,0),0)</f>
        <v>0</v>
      </c>
      <c r="J45" s="65">
        <f>IF($H$36=0,0,IF($H$36=1,SUM(I33:I45),IF($H$36=2,SUM(I23:I45),IF($H$36=3,SUM(I16:I45),IF($H$36=4,SUM(I16:I45),"more than 4 years")))))</f>
        <v>0</v>
      </c>
      <c r="K45" s="66" t="str">
        <f t="shared" si="1"/>
        <v>ok</v>
      </c>
      <c r="L45" s="66">
        <f>IF(J45=1,IF(J46=0,IF(DAY(Simulation!$G$11)=1,0,DAY(Simulation!$G$11)-1),0),0)</f>
        <v>0</v>
      </c>
      <c r="M45" s="63">
        <f>IF(AND(J44=1,J45=1,J46=0,DAY(Simulation!$G$11)=1),0,IF(J45=1,IF(L45&lt;&gt;0,L45,C45),0))</f>
        <v>0</v>
      </c>
      <c r="N45" s="67">
        <f t="shared" si="2"/>
        <v>0</v>
      </c>
      <c r="O45" s="68">
        <f>IF($E$36=5,(($B$28*$B$12)/365)*$C45*$E$36*$F45*Simulation!$G$10,((($B$28*$B$12)/365)*$M45*Simulation!$G$10)+(($B$28*$B$12)/365)*$N45*$F45*Simulation!$G$10)</f>
        <v>0</v>
      </c>
      <c r="P45" s="69">
        <f>IF($E$36=5,(($B$29*$B$13)/365)*$C45*$E$36*$F45*Simulation!$G$10,((($B$29*$B$13)/365)*$M45*Simulation!$G$10)+(($B$29*$B$13)/365)*$N45*$F45*Simulation!$G$10)</f>
        <v>0</v>
      </c>
      <c r="Q45" s="107">
        <f>IF($E$36=5,($E$22/365)*$C45*$E$36*$F45*Simulation!$G$10,(($E$22/365)*$M45*Simulation!$G$10)+($E$22/365)*$N45*$F45*Simulation!$G$10)</f>
        <v>0</v>
      </c>
      <c r="R45" s="107">
        <f>IF($E$36=5,($E$23*$E$24/365)*$C45*$E$36*$F45*Simulation!$G$10,(($E$23*$E$24/365)*$M45*Simulation!$G$10)+($E$23*$E$24/365)*$N45*$F45*Simulation!$G$10)</f>
        <v>0</v>
      </c>
    </row>
    <row r="46" spans="1:18" s="25" customFormat="1" ht="15" x14ac:dyDescent="0.25">
      <c r="A46" s="60">
        <v>43405</v>
      </c>
      <c r="B46" s="61">
        <v>43405</v>
      </c>
      <c r="C46" s="62">
        <f>MAX(0,MIN(EOMONTH(B46,0),Simulation!$G$12)-MAX(B46,Simulation!$G$11)+1)</f>
        <v>0</v>
      </c>
      <c r="D46" s="182"/>
      <c r="E46" s="195"/>
      <c r="F46" s="62">
        <f>Parameters!B31</f>
        <v>2.0299999999999998</v>
      </c>
      <c r="G46" s="63">
        <f t="shared" si="0"/>
        <v>30</v>
      </c>
      <c r="H46" s="186"/>
      <c r="I46" s="64">
        <f>IF(Simulation!$G$12&gt;=$B$111,IF(AND(YEAR(Simulation!$G$11)=YEAR(A46),MONTH(A46)=MONTH(Simulation!$G$11)),1,0),0)</f>
        <v>0</v>
      </c>
      <c r="J46" s="65">
        <f>IF($H$36=0,0,IF($H$36=1,SUM(I34:I46),IF($H$36=2,SUM(I23:I46),IF($H$36=3,SUM(I16:I46),IF($H$36=4,SUM(I16:I46),"more than 4 years")))))</f>
        <v>0</v>
      </c>
      <c r="K46" s="66" t="str">
        <f t="shared" si="1"/>
        <v>ok</v>
      </c>
      <c r="L46" s="66">
        <f>IF(J46=1,IF(J47=0,IF(DAY(Simulation!$G$11)=1,0,DAY(Simulation!$G$11)-1),0),0)</f>
        <v>0</v>
      </c>
      <c r="M46" s="63">
        <f>IF(AND(J45=1,J46=1,J47=0,DAY(Simulation!$G$11)=1),0,IF(J46=1,IF(L46&lt;&gt;0,L46,C46),0))</f>
        <v>0</v>
      </c>
      <c r="N46" s="67">
        <f t="shared" si="2"/>
        <v>0</v>
      </c>
      <c r="O46" s="68">
        <f>IF($E$36=5,(($B$28*$B$12)/365)*$C46*$E$36*$F46*Simulation!$G$10,((($B$28*$B$12)/365)*$M46*Simulation!$G$10)+(($B$28*$B$12)/365)*$N46*$F46*Simulation!$G$10)</f>
        <v>0</v>
      </c>
      <c r="P46" s="69">
        <f>IF($E$36=5,(($B$29*$B$13)/365)*$C46*$E$36*$F46*Simulation!$G$10,((($B$29*$B$13)/365)*$M46*Simulation!$G$10)+(($B$29*$B$13)/365)*$N46*$F46*Simulation!$G$10)</f>
        <v>0</v>
      </c>
      <c r="Q46" s="107">
        <f>IF($E$36=5,($E$22/365)*$C46*$E$36*$F46*Simulation!$G$10,(($E$22/365)*$M46*Simulation!$G$10)+($E$22/365)*$N46*$F46*Simulation!$G$10)</f>
        <v>0</v>
      </c>
      <c r="R46" s="107">
        <f>IF($E$36=5,($E$23*$E$24/365)*$C46*$E$36*$F46*Simulation!$G$10,(($E$23*$E$24/365)*$M46*Simulation!$G$10)+($E$23*$E$24/365)*$N46*$F46*Simulation!$G$10)</f>
        <v>0</v>
      </c>
    </row>
    <row r="47" spans="1:18" s="25" customFormat="1" ht="15" x14ac:dyDescent="0.25">
      <c r="A47" s="60">
        <v>43435</v>
      </c>
      <c r="B47" s="61">
        <v>43435</v>
      </c>
      <c r="C47" s="62">
        <f>MAX(0,MIN(EOMONTH(B47,0),Simulation!$G$12)-MAX(B47,Simulation!$G$11)+1)</f>
        <v>0</v>
      </c>
      <c r="D47" s="182"/>
      <c r="E47" s="195"/>
      <c r="F47" s="62">
        <f>Parameters!B32</f>
        <v>2.3199999999999998</v>
      </c>
      <c r="G47" s="63">
        <f t="shared" si="0"/>
        <v>31</v>
      </c>
      <c r="H47" s="186"/>
      <c r="I47" s="64">
        <f>IF(Simulation!$G$12&gt;=$B$111,IF(AND(YEAR(Simulation!$G$11)=YEAR(A47),MONTH(A47)=MONTH(Simulation!$G$11)),1,0),0)</f>
        <v>0</v>
      </c>
      <c r="J47" s="65">
        <f>IF($H$36=0,0,IF($H$36=1,SUM(I35:I47),IF($H$36=2,SUM(I24:I47),IF($H$36=3,SUM(I16:I47),IF($H$36=4,SUM(I16:I47),"more than 4 years")))))</f>
        <v>0</v>
      </c>
      <c r="K47" s="66" t="str">
        <f t="shared" si="1"/>
        <v>ok</v>
      </c>
      <c r="L47" s="66">
        <f>IF(J47=1,IF(J48=0,IF(DAY(Simulation!$G$11)=1,0,DAY(Simulation!$G$11)-1),0),0)</f>
        <v>0</v>
      </c>
      <c r="M47" s="63">
        <f>IF(AND(J46=1,J47=1,J48=0,DAY(Simulation!$G$11)=1),0,IF(J47=1,IF(L47&lt;&gt;0,L47,C47),0))</f>
        <v>0</v>
      </c>
      <c r="N47" s="67">
        <f t="shared" si="2"/>
        <v>0</v>
      </c>
      <c r="O47" s="68">
        <f>IF($E$36=5,(($B$28*$B$12)/365)*$C47*$E$36*$F47*Simulation!$G$10,((($B$28*$B$12)/365)*$M47*Simulation!$G$10)+(($B$28*$B$12)/365)*$N47*$F47*Simulation!$G$10)</f>
        <v>0</v>
      </c>
      <c r="P47" s="69">
        <f>IF($E$36=5,(($B$29*$B$13)/365)*$C47*$E$36*$F47*Simulation!$G$10,((($B$29*$B$13)/365)*$M47*Simulation!$G$10)+(($B$29*$B$13)/365)*$N47*$F47*Simulation!$G$10)</f>
        <v>0</v>
      </c>
      <c r="Q47" s="107">
        <f>IF($E$36=5,($E$22/365)*$C47*$E$36*$F47*Simulation!$G$10,(($E$22/365)*$M47*Simulation!$G$10)+($E$22/365)*$N47*$F47*Simulation!$G$10)</f>
        <v>0</v>
      </c>
      <c r="R47" s="107">
        <f>IF($E$36=5,($E$23*$E$24/365)*$C47*$E$36*$F47*Simulation!$G$10,(($E$23*$E$24/365)*$M47*Simulation!$G$10)+($E$23*$E$24/365)*$N47*$F47*Simulation!$G$10)</f>
        <v>0</v>
      </c>
    </row>
    <row r="48" spans="1:18" s="25" customFormat="1" ht="15" x14ac:dyDescent="0.25">
      <c r="A48" s="60">
        <v>43466</v>
      </c>
      <c r="B48" s="61">
        <v>43466</v>
      </c>
      <c r="C48" s="62">
        <f>MAX(0,MIN(EOMONTH(B48,0),Simulation!$G$12)-MAX(B48,Simulation!$G$11)+1)</f>
        <v>0</v>
      </c>
      <c r="D48" s="182"/>
      <c r="E48" s="195"/>
      <c r="F48" s="62">
        <f>Parameters!B21</f>
        <v>2.5375000000000001</v>
      </c>
      <c r="G48" s="63">
        <f t="shared" si="0"/>
        <v>31</v>
      </c>
      <c r="H48" s="186"/>
      <c r="I48" s="64">
        <f>IF(Simulation!$G$12&gt;=$B$111,IF(AND(YEAR(Simulation!$G$11)=YEAR(A48),MONTH(A48)=MONTH(Simulation!$G$11)),1,0),0)</f>
        <v>0</v>
      </c>
      <c r="J48" s="65">
        <f>IF($H$36=0,0,IF($H$36=1,SUM(I36:I48),IF($H$36=2,SUM(I25:I48),IF($H$36=3,SUM(I16:I48),IF($H$36=4,SUM(I16:I48),"more than 4 years")))))</f>
        <v>0</v>
      </c>
      <c r="K48" s="66" t="str">
        <f t="shared" si="1"/>
        <v>ok</v>
      </c>
      <c r="L48" s="66">
        <f>IF(J48=1,IF(J49=0,IF(DAY(Simulation!$G$11)=1,0,DAY(Simulation!$G$11)-1),0),0)</f>
        <v>0</v>
      </c>
      <c r="M48" s="63">
        <f>IF(AND(J47=1,J48=1,J49=0,DAY(Simulation!$G$11)=1),0,IF(J48=1,IF(L48&lt;&gt;0,L48,C48),0))</f>
        <v>0</v>
      </c>
      <c r="N48" s="67">
        <f t="shared" si="2"/>
        <v>0</v>
      </c>
      <c r="O48" s="68">
        <f>IF($E$36=5,(($B$28*$B$12)/365)*$C48*$E$36*$F48*Simulation!$G$10,((($B$28*$B$12)/365)*$M48*Simulation!$G$10)+(($B$28*$B$12)/365)*$N48*$F48*Simulation!$G$10)</f>
        <v>0</v>
      </c>
      <c r="P48" s="69">
        <f>IF($E$36=5,(($B$29*$B$13)/365)*$C48*$E$36*$F48*Simulation!$G$10,((($B$29*$B$13)/365)*$M48*Simulation!$G$10)+(($B$29*$B$13)/365)*$N48*$F48*Simulation!$G$10)</f>
        <v>0</v>
      </c>
      <c r="Q48" s="107">
        <f>IF($E$36=5,($E$22/365)*$C48*$E$36*$F48*Simulation!$G$10,(($E$22/365)*$M48*Simulation!$G$10)+($E$22/365)*$N48*$F48*Simulation!$G$10)</f>
        <v>0</v>
      </c>
      <c r="R48" s="107">
        <f>IF($E$36=5,($E$23*$E$24/365)*$C48*$E$36*$F48*Simulation!$G$10,(($E$23*$E$24/365)*$M48*Simulation!$G$10)+($E$23*$E$24/365)*$N48*$F48*Simulation!$G$10)</f>
        <v>0</v>
      </c>
    </row>
    <row r="49" spans="1:18" s="25" customFormat="1" ht="15" x14ac:dyDescent="0.25">
      <c r="A49" s="60">
        <v>43497</v>
      </c>
      <c r="B49" s="61">
        <v>43497</v>
      </c>
      <c r="C49" s="62">
        <f>MAX(0,MIN(EOMONTH(B49,0),Simulation!$G$12)-MAX(B49,Simulation!$G$11)+1)</f>
        <v>0</v>
      </c>
      <c r="D49" s="182"/>
      <c r="E49" s="195"/>
      <c r="F49" s="62">
        <f>Parameters!B22</f>
        <v>2.2475000000000001</v>
      </c>
      <c r="G49" s="63">
        <f t="shared" si="0"/>
        <v>28</v>
      </c>
      <c r="H49" s="186"/>
      <c r="I49" s="64">
        <f>IF(Simulation!$G$12&gt;=$B$111,IF(AND(YEAR(Simulation!$G$11)=YEAR(A49),MONTH(A49)=MONTH(Simulation!$G$11)),1,0),0)</f>
        <v>0</v>
      </c>
      <c r="J49" s="65">
        <f>IF($H$36=0,0,IF($H$36=1,SUM(I37:I49),IF($H$36=2,SUM(I26:I49),IF($H$36=3,SUM(I17:I49),IF($H$36=4,SUM(I16:I49),"more than 4 years")))))</f>
        <v>0</v>
      </c>
      <c r="K49" s="66" t="str">
        <f t="shared" si="1"/>
        <v>ok</v>
      </c>
      <c r="L49" s="66">
        <f>IF(J49=1,IF(J50=0,IF(DAY(Simulation!$G$11)=1,0,DAY(Simulation!$G$11)-1),0),0)</f>
        <v>0</v>
      </c>
      <c r="M49" s="63">
        <f>IF(AND(J48=1,J49=1,J50=0,DAY(Simulation!$G$11)=1),0,IF(J49=1,IF(L49&lt;&gt;0,L49,C49),0))</f>
        <v>0</v>
      </c>
      <c r="N49" s="67">
        <f t="shared" si="2"/>
        <v>0</v>
      </c>
      <c r="O49" s="68">
        <f>IF($E$36=5,(($B$28*$B$12)/365)*$C49*$E$36*$F49*Simulation!$G$10,((($B$28*$B$12)/365)*$M49*Simulation!$G$10)+(($B$28*$B$12)/365)*$N49*$F49*Simulation!$G$10)</f>
        <v>0</v>
      </c>
      <c r="P49" s="69">
        <f>IF($E$36=5,(($B$29*$B$13)/365)*$C49*$E$36*$F49*Simulation!$G$10,((($B$29*$B$13)/365)*$M49*Simulation!$G$10)+(($B$29*$B$13)/365)*$N49*$F49*Simulation!$G$10)</f>
        <v>0</v>
      </c>
      <c r="Q49" s="107">
        <f>IF($E$36=5,($E$22/365)*$C49*$E$36*$F49*Simulation!$G$10,(($E$22/365)*$M49*Simulation!$G$10)+($E$22/365)*$N49*$F49*Simulation!$G$10)</f>
        <v>0</v>
      </c>
      <c r="R49" s="107">
        <f>IF($E$36=5,($E$23*$E$24/365)*$C49*$E$36*$F49*Simulation!$G$10,(($E$23*$E$24/365)*$M49*Simulation!$G$10)+($E$23*$E$24/365)*$N49*$F49*Simulation!$G$10)</f>
        <v>0</v>
      </c>
    </row>
    <row r="50" spans="1:18" s="25" customFormat="1" ht="15" x14ac:dyDescent="0.25">
      <c r="A50" s="60">
        <v>43525</v>
      </c>
      <c r="B50" s="61">
        <v>43525</v>
      </c>
      <c r="C50" s="62">
        <f>MAX(0,MIN(EOMONTH(B50,0),Simulation!$G$12)-MAX(B50,Simulation!$G$11)+1)</f>
        <v>0</v>
      </c>
      <c r="D50" s="182"/>
      <c r="E50" s="195"/>
      <c r="F50" s="62">
        <f>Parameters!B23</f>
        <v>1.885</v>
      </c>
      <c r="G50" s="63">
        <f t="shared" si="0"/>
        <v>31</v>
      </c>
      <c r="H50" s="186"/>
      <c r="I50" s="64">
        <f>IF(Simulation!$G$12&gt;=$B$111,IF(AND(YEAR(Simulation!$G$11)=YEAR(A50),MONTH(A50)=MONTH(Simulation!$G$11)),1,0),0)</f>
        <v>0</v>
      </c>
      <c r="J50" s="65">
        <f>IF($H$36=0,0,IF($H$36=1,SUM(I38:I50),IF($H$36=2,SUM(I27:I50),IF($H$36=3,SUM(I17:I50),IF($H$36=4,SUM(I16:I50),"more than 4 years")))))</f>
        <v>0</v>
      </c>
      <c r="K50" s="66" t="str">
        <f t="shared" si="1"/>
        <v>ok</v>
      </c>
      <c r="L50" s="66">
        <f>IF(J50=1,IF(J51=0,IF(DAY(Simulation!$G$11)=1,0,DAY(Simulation!$G$11)-1),0),0)</f>
        <v>0</v>
      </c>
      <c r="M50" s="63">
        <f>IF(AND(J49=1,J50=1,J51=0,DAY(Simulation!$G$11)=1),0,IF(J50=1,IF(L50&lt;&gt;0,L50,C50),0))</f>
        <v>0</v>
      </c>
      <c r="N50" s="67">
        <f t="shared" si="2"/>
        <v>0</v>
      </c>
      <c r="O50" s="68">
        <f>IF($E$36=5,(($B$28*$B$12)/365)*$C50*$E$36*$F50*Simulation!$G$10,((($B$28*$B$12)/365)*$M50*Simulation!$G$10)+(($B$28*$B$12)/365)*$N50*$F50*Simulation!$G$10)</f>
        <v>0</v>
      </c>
      <c r="P50" s="69">
        <f>IF($E$36=5,(($B$29*$B$13)/365)*$C50*$E$36*$F50*Simulation!$G$10,((($B$29*$B$13)/365)*$M50*Simulation!$G$10)+(($B$29*$B$13)/365)*$N50*$F50*Simulation!$G$10)</f>
        <v>0</v>
      </c>
      <c r="Q50" s="107">
        <f>IF($E$36=5,($E$22/365)*$C50*$E$36*$F50*Simulation!$G$10,(($E$22/365)*$M50*Simulation!$G$10)+($E$22/365)*$N50*$F50*Simulation!$G$10)</f>
        <v>0</v>
      </c>
      <c r="R50" s="107">
        <f>IF($E$36=5,($E$23*$E$24/365)*$C50*$E$36*$F50*Simulation!$G$10,(($E$23*$E$24/365)*$M50*Simulation!$G$10)+($E$23*$E$24/365)*$N50*$F50*Simulation!$G$10)</f>
        <v>0</v>
      </c>
    </row>
    <row r="51" spans="1:18" s="25" customFormat="1" ht="15" x14ac:dyDescent="0.25">
      <c r="A51" s="60">
        <v>43556</v>
      </c>
      <c r="B51" s="61">
        <v>43556</v>
      </c>
      <c r="C51" s="62">
        <f>MAX(0,MIN(EOMONTH(B51,0),Simulation!$G$12)-MAX(B51,Simulation!$G$11)+1)</f>
        <v>0</v>
      </c>
      <c r="D51" s="182"/>
      <c r="E51" s="195"/>
      <c r="F51" s="62">
        <f>Parameters!B24</f>
        <v>1.3774999999999999</v>
      </c>
      <c r="G51" s="63">
        <f t="shared" si="0"/>
        <v>30</v>
      </c>
      <c r="H51" s="186"/>
      <c r="I51" s="64">
        <f>IF(Simulation!$G$12&gt;=$B$111,IF(AND(YEAR(Simulation!$G$11)=YEAR(A51),MONTH(A51)=MONTH(Simulation!$G$11)),1,0),0)</f>
        <v>0</v>
      </c>
      <c r="J51" s="65">
        <f>IF($H$36=0,0,IF($H$36=1,SUM(I39:I51),IF($H$36=2,SUM(I28:I51),IF($H$36=3,SUM(I17:I51),IF($H$36=4,SUM(I16:I51),"more than 4 years")))))</f>
        <v>0</v>
      </c>
      <c r="K51" s="66" t="str">
        <f t="shared" si="1"/>
        <v>ok</v>
      </c>
      <c r="L51" s="66">
        <f>IF(J51=1,IF(J52=0,IF(DAY(Simulation!$G$11)=1,0,DAY(Simulation!$G$11)-1),0),0)</f>
        <v>0</v>
      </c>
      <c r="M51" s="63">
        <f>IF(AND(J50=1,J51=1,J52=0,DAY(Simulation!$G$11)=1),0,IF(J51=1,IF(L51&lt;&gt;0,L51,C51),0))</f>
        <v>0</v>
      </c>
      <c r="N51" s="67">
        <f t="shared" si="2"/>
        <v>0</v>
      </c>
      <c r="O51" s="68">
        <f>IF($E$36=5,(($B$28*$B$12)/365)*$C51*$E$36*$F51*Simulation!$G$10,((($B$28*$B$12)/365)*$M51*Simulation!$G$10)+(($B$28*$B$12)/365)*$N51*$F51*Simulation!$G$10)</f>
        <v>0</v>
      </c>
      <c r="P51" s="69">
        <f>IF($E$36=5,(($B$29*$B$13)/365)*$C51*$E$36*$F51*Simulation!$G$10,((($B$29*$B$13)/365)*$M51*Simulation!$G$10)+(($B$29*$B$13)/365)*$N51*$F51*Simulation!$G$10)</f>
        <v>0</v>
      </c>
      <c r="Q51" s="107">
        <f>IF($E$36=5,($E$22/365)*$C51*$E$36*$F51*Simulation!$G$10,(($E$22/365)*$M51*Simulation!$G$10)+($E$22/365)*$N51*$F51*Simulation!$G$10)</f>
        <v>0</v>
      </c>
      <c r="R51" s="107">
        <f>IF($E$36=5,($E$23*$E$24/365)*$C51*$E$36*$F51*Simulation!$G$10,(($E$23*$E$24/365)*$M51*Simulation!$G$10)+($E$23*$E$24/365)*$N51*$F51*Simulation!$G$10)</f>
        <v>0</v>
      </c>
    </row>
    <row r="52" spans="1:18" s="25" customFormat="1" ht="15" x14ac:dyDescent="0.25">
      <c r="A52" s="60">
        <v>43586</v>
      </c>
      <c r="B52" s="61">
        <v>43586</v>
      </c>
      <c r="C52" s="62">
        <f>MAX(0,MIN(EOMONTH(B52,0),Simulation!$G$12)-MAX(B52,Simulation!$G$11)+1)</f>
        <v>0</v>
      </c>
      <c r="D52" s="182"/>
      <c r="E52" s="195"/>
      <c r="F52" s="62">
        <f>Parameters!B25</f>
        <v>0.9425</v>
      </c>
      <c r="G52" s="63">
        <f t="shared" si="0"/>
        <v>31</v>
      </c>
      <c r="H52" s="186"/>
      <c r="I52" s="64">
        <f>IF(Simulation!$G$12&gt;=$B$111,IF(AND(YEAR(Simulation!$G$11)=YEAR(A52),MONTH(A52)=MONTH(Simulation!$G$11)),1,0),0)</f>
        <v>0</v>
      </c>
      <c r="J52" s="65">
        <f>IF($H$36=0,0,IF($H$36=1,SUM(I40:I52),IF($H$36=2,SUM(I30:I52),IF($H$36=3,SUM(I18:I52),IF($H$36=4,SUM(I16:I52),"more than 4 years")))))</f>
        <v>0</v>
      </c>
      <c r="K52" s="66" t="str">
        <f t="shared" si="1"/>
        <v>ok</v>
      </c>
      <c r="L52" s="66">
        <f>IF(J52=1,IF(J53=0,IF(DAY(Simulation!$G$11)=1,0,DAY(Simulation!$G$11)-1),0),0)</f>
        <v>0</v>
      </c>
      <c r="M52" s="63">
        <f>IF(AND(J51=1,J52=1,J53=0,DAY(Simulation!$G$11)=1),0,IF(J52=1,IF(L52&lt;&gt;0,L52,C52),0))</f>
        <v>0</v>
      </c>
      <c r="N52" s="67">
        <f t="shared" si="2"/>
        <v>0</v>
      </c>
      <c r="O52" s="68">
        <f>IF($E$36=5,(($B$28*$B$12)/365)*$C52*$E$36*$F52*Simulation!$G$10,((($B$28*$B$12)/365)*$M52*Simulation!$G$10)+(($B$28*$B$12)/365)*$N52*$F52*Simulation!$G$10)</f>
        <v>0</v>
      </c>
      <c r="P52" s="69">
        <f>IF($E$36=5,(($B$29*$B$13)/365)*$C52*$E$36*$F52*Simulation!$G$10,((($B$29*$B$13)/365)*$M52*Simulation!$G$10)+(($B$29*$B$13)/365)*$N52*$F52*Simulation!$G$10)</f>
        <v>0</v>
      </c>
      <c r="Q52" s="107">
        <f>IF($E$36=5,($E$22/365)*$C52*$E$36*$F52*Simulation!$G$10,(($E$22/365)*$M52*Simulation!$G$10)+($E$22/365)*$N52*$F52*Simulation!$G$10)</f>
        <v>0</v>
      </c>
      <c r="R52" s="107">
        <f>IF($E$36=5,($E$23*$E$24/365)*$C52*$E$36*$F52*Simulation!$G$10,(($E$23*$E$24/365)*$M52*Simulation!$G$10)+($E$23*$E$24/365)*$N52*$F52*Simulation!$G$10)</f>
        <v>0</v>
      </c>
    </row>
    <row r="53" spans="1:18" s="25" customFormat="1" ht="15" x14ac:dyDescent="0.25">
      <c r="A53" s="60">
        <v>43617</v>
      </c>
      <c r="B53" s="61">
        <v>43617</v>
      </c>
      <c r="C53" s="62">
        <f>MAX(0,MIN(EOMONTH(B53,0),Simulation!$G$12)-MAX(B53,Simulation!$G$11)+1)</f>
        <v>0</v>
      </c>
      <c r="D53" s="182"/>
      <c r="E53" s="195"/>
      <c r="F53" s="62">
        <f>Parameters!B26</f>
        <v>0.72499999999999998</v>
      </c>
      <c r="G53" s="63">
        <f t="shared" si="0"/>
        <v>30</v>
      </c>
      <c r="H53" s="186"/>
      <c r="I53" s="64">
        <f>IF(Simulation!$G$12&gt;=$B$111,IF(AND(YEAR(Simulation!$G$11)=YEAR(A53),MONTH(A53)=MONTH(Simulation!$G$11)),1,0),0)</f>
        <v>0</v>
      </c>
      <c r="J53" s="65">
        <f>IF($H$36=0,0,IF($H$36=1,SUM(I41:I53),IF($H$36=2,SUM(I30:I53),IF($H$36=3,SUM(I19:I53),IF($H$36=4,SUM(I16:I53),"more than 4 years")))))</f>
        <v>0</v>
      </c>
      <c r="K53" s="66" t="str">
        <f t="shared" si="1"/>
        <v>ok</v>
      </c>
      <c r="L53" s="66">
        <f>IF(J53=1,IF(J54=0,IF(DAY(Simulation!$G$11)=1,0,DAY(Simulation!$G$11)-1),0),0)</f>
        <v>0</v>
      </c>
      <c r="M53" s="63">
        <f>IF(AND(J52=1,J53=1,J54=0,DAY(Simulation!$G$11)=1),0,IF(J53=1,IF(L53&lt;&gt;0,L53,C53),0))</f>
        <v>0</v>
      </c>
      <c r="N53" s="67">
        <f t="shared" si="2"/>
        <v>0</v>
      </c>
      <c r="O53" s="68">
        <f>IF($E$36=5,(($B$28*$B$12)/365)*$C53*$E$36*$F53*Simulation!$G$10,((($B$28*$B$12)/365)*$M53*Simulation!$G$10)+(($B$28*$B$12)/365)*$N53*$F53*Simulation!$G$10)</f>
        <v>0</v>
      </c>
      <c r="P53" s="69">
        <f>IF($E$36=5,(($B$29*$B$13)/365)*$C53*$E$36*$F53*Simulation!$G$10,((($B$29*$B$13)/365)*$M53*Simulation!$G$10)+(($B$29*$B$13)/365)*$N53*$F53*Simulation!$G$10)</f>
        <v>0</v>
      </c>
      <c r="Q53" s="107">
        <f>IF($E$36=5,($E$22/365)*$C53*$E$36*$F53*Simulation!$G$10,(($E$22/365)*$M53*Simulation!$G$10)+($E$22/365)*$N53*$F53*Simulation!$G$10)</f>
        <v>0</v>
      </c>
      <c r="R53" s="107">
        <f>IF($E$36=5,($E$23*$E$24/365)*$C53*$E$36*$F53*Simulation!$G$10,(($E$23*$E$24/365)*$M53*Simulation!$G$10)+($E$23*$E$24/365)*$N53*$F53*Simulation!$G$10)</f>
        <v>0</v>
      </c>
    </row>
    <row r="54" spans="1:18" s="25" customFormat="1" ht="15" x14ac:dyDescent="0.25">
      <c r="A54" s="60">
        <v>43647</v>
      </c>
      <c r="B54" s="61">
        <v>43647</v>
      </c>
      <c r="C54" s="62">
        <f>MAX(0,MIN(EOMONTH(B54,0),Simulation!$G$12)-MAX(B54,Simulation!$G$11)+1)</f>
        <v>0</v>
      </c>
      <c r="D54" s="182"/>
      <c r="E54" s="195"/>
      <c r="F54" s="62">
        <f>Parameters!B27</f>
        <v>0.72499999999999998</v>
      </c>
      <c r="G54" s="63">
        <f t="shared" si="0"/>
        <v>31</v>
      </c>
      <c r="H54" s="186"/>
      <c r="I54" s="64">
        <f>IF(Simulation!$G$12&gt;=$B$111,IF(AND(YEAR(Simulation!$G$11)=YEAR(A54),MONTH(A54)=MONTH(Simulation!$G$11)),1,0),0)</f>
        <v>0</v>
      </c>
      <c r="J54" s="65">
        <f>IF($H$36=0,0,IF($H$36=1,SUM(I42:I54),IF($H$36=2,SUM(I30:I54),IF($H$36=3,SUM(I20:I54),IF($H$36=4,SUM(I16:I54),"more than 4 years")))))</f>
        <v>0</v>
      </c>
      <c r="K54" s="66" t="str">
        <f t="shared" si="1"/>
        <v>ok</v>
      </c>
      <c r="L54" s="66">
        <f>IF(J54=1,IF(J55=0,IF(DAY(Simulation!$G$11)=1,0,DAY(Simulation!$G$11)-1),0),0)</f>
        <v>0</v>
      </c>
      <c r="M54" s="63">
        <f>IF(AND(J53=1,J54=1,J55=0,DAY(Simulation!$G$11)=1),0,IF(J54=1,IF(L54&lt;&gt;0,L54,C54),0))</f>
        <v>0</v>
      </c>
      <c r="N54" s="67">
        <f t="shared" si="2"/>
        <v>0</v>
      </c>
      <c r="O54" s="68">
        <f>IF($E$36=5,(($B$28*$B$12)/365)*$C54*$E$36*$F54*Simulation!$G$10,((($B$28*$B$12)/365)*$M54*Simulation!$G$10)+(($B$28*$B$12)/365)*$N54*$F54*Simulation!$G$10)</f>
        <v>0</v>
      </c>
      <c r="P54" s="69">
        <f>IF($E$36=5,(($B$29*$B$13)/365)*$C54*$E$36*$F54*Simulation!$G$10,((($B$29*$B$13)/365)*$M54*Simulation!$G$10)+(($B$29*$B$13)/365)*$N54*$F54*Simulation!$G$10)</f>
        <v>0</v>
      </c>
      <c r="Q54" s="107">
        <f>IF($E$36=5,($E$22/365)*$C54*$E$36*$F54*Simulation!$G$10,(($E$22/365)*$M54*Simulation!$G$10)+($E$22/365)*$N54*$F54*Simulation!$G$10)</f>
        <v>0</v>
      </c>
      <c r="R54" s="107">
        <f>IF($E$36=5,($E$23*$E$24/365)*$C54*$E$36*$F54*Simulation!$G$10,(($E$23*$E$24/365)*$M54*Simulation!$G$10)+($E$23*$E$24/365)*$N54*$F54*Simulation!$G$10)</f>
        <v>0</v>
      </c>
    </row>
    <row r="55" spans="1:18" s="25" customFormat="1" ht="15" x14ac:dyDescent="0.25">
      <c r="A55" s="60">
        <v>43678</v>
      </c>
      <c r="B55" s="61">
        <v>43678</v>
      </c>
      <c r="C55" s="62">
        <f>MAX(0,MIN(EOMONTH(B55,0),Simulation!$G$12)-MAX(B55,Simulation!$G$11)+1)</f>
        <v>0</v>
      </c>
      <c r="D55" s="182"/>
      <c r="E55" s="195"/>
      <c r="F55" s="62">
        <f>Parameters!B28</f>
        <v>0.72499999999999998</v>
      </c>
      <c r="G55" s="63">
        <f t="shared" si="0"/>
        <v>31</v>
      </c>
      <c r="H55" s="186"/>
      <c r="I55" s="64">
        <f>IF(Simulation!$G$12&gt;=$B$111,IF(AND(YEAR(Simulation!$G$11)=YEAR(A55),MONTH(A55)=MONTH(Simulation!$G$11)),1,0),0)</f>
        <v>0</v>
      </c>
      <c r="J55" s="65">
        <f>IF($H$36=0,0,IF($H$36=1,SUM(I43:I55),IF($H$36=2,SUM(I31:I55),IF($H$36=3,SUM(I21:I55),IF($H$36=4,SUM(I16:I55),"more than 4 years")))))</f>
        <v>0</v>
      </c>
      <c r="K55" s="66" t="str">
        <f t="shared" si="1"/>
        <v>ok</v>
      </c>
      <c r="L55" s="66">
        <f>IF(J55=1,IF(J56=0,IF(DAY(Simulation!$G$11)=1,0,DAY(Simulation!$G$11)-1),0),0)</f>
        <v>0</v>
      </c>
      <c r="M55" s="63">
        <f>IF(AND(J54=1,J55=1,J56=0,DAY(Simulation!$G$11)=1),0,IF(J55=1,IF(L55&lt;&gt;0,L55,C55),0))</f>
        <v>0</v>
      </c>
      <c r="N55" s="67">
        <f t="shared" si="2"/>
        <v>0</v>
      </c>
      <c r="O55" s="68">
        <f>IF($E$36=5,(($B$28*$B$12)/365)*$C55*$E$36*$F55*Simulation!$G$10,((($B$28*$B$12)/365)*$M55*Simulation!$G$10)+(($B$28*$B$12)/365)*$N55*$F55*Simulation!$G$10)</f>
        <v>0</v>
      </c>
      <c r="P55" s="69">
        <f>IF($E$36=5,(($B$29*$B$13)/365)*$C55*$E$36*$F55*Simulation!$G$10,((($B$29*$B$13)/365)*$M55*Simulation!$G$10)+(($B$29*$B$13)/365)*$N55*$F55*Simulation!$G$10)</f>
        <v>0</v>
      </c>
      <c r="Q55" s="107">
        <f>IF($E$36=5,($E$22/365)*$C55*$E$36*$F55*Simulation!$G$10,(($E$22/365)*$M55*Simulation!$G$10)+($E$22/365)*$N55*$F55*Simulation!$G$10)</f>
        <v>0</v>
      </c>
      <c r="R55" s="107">
        <f>IF($E$36=5,($E$23*$E$24/365)*$C55*$E$36*$F55*Simulation!$G$10,(($E$23*$E$24/365)*$M55*Simulation!$G$10)+($E$23*$E$24/365)*$N55*$F55*Simulation!$G$10)</f>
        <v>0</v>
      </c>
    </row>
    <row r="56" spans="1:18" s="25" customFormat="1" ht="15" x14ac:dyDescent="0.25">
      <c r="A56" s="60">
        <v>43709</v>
      </c>
      <c r="B56" s="61">
        <v>43709</v>
      </c>
      <c r="C56" s="62">
        <f>MAX(0,MIN(EOMONTH(B56,0),Simulation!$G$12)-MAX(B56,Simulation!$G$11)+1)</f>
        <v>0</v>
      </c>
      <c r="D56" s="182"/>
      <c r="E56" s="195"/>
      <c r="F56" s="62">
        <f>Parameters!B29</f>
        <v>0.9425</v>
      </c>
      <c r="G56" s="63">
        <f t="shared" si="0"/>
        <v>30</v>
      </c>
      <c r="H56" s="186"/>
      <c r="I56" s="64">
        <f>IF(Simulation!$G$12&gt;=$B$111,IF(AND(YEAR(Simulation!$G$11)=YEAR(A56),MONTH(A56)=MONTH(Simulation!$G$11)),1,0),0)</f>
        <v>0</v>
      </c>
      <c r="J56" s="65">
        <f>IF($H$36=0,0,IF($H$36=1,SUM(I44:I56),IF($H$36=2,SUM(I32:I56),IF($H$36=3,SUM(I22:I56),IF($H$36=4,SUM(I16:I56),"more than 4 years")))))</f>
        <v>0</v>
      </c>
      <c r="K56" s="66" t="str">
        <f t="shared" si="1"/>
        <v>ok</v>
      </c>
      <c r="L56" s="66">
        <f>IF(J56=1,IF(J57=0,IF(DAY(Simulation!$G$11)=1,0,DAY(Simulation!$G$11)-1),0),0)</f>
        <v>0</v>
      </c>
      <c r="M56" s="63">
        <f>IF(AND(J55=1,J56=1,J57=0,DAY(Simulation!$G$11)=1),0,IF(J56=1,IF(L56&lt;&gt;0,L56,C56),0))</f>
        <v>0</v>
      </c>
      <c r="N56" s="67">
        <f t="shared" si="2"/>
        <v>0</v>
      </c>
      <c r="O56" s="68">
        <f>IF($E$36=5,(($B$28*$B$12)/365)*$C56*$E$36*$F56*Simulation!$G$10,((($B$28*$B$12)/365)*$M56*Simulation!$G$10)+(($B$28*$B$12)/365)*$N56*$F56*Simulation!$G$10)</f>
        <v>0</v>
      </c>
      <c r="P56" s="69">
        <f>IF($E$36=5,(($B$29*$B$13)/365)*$C56*$E$36*$F56*Simulation!$G$10,((($B$29*$B$13)/365)*$M56*Simulation!$G$10)+(($B$29*$B$13)/365)*$N56*$F56*Simulation!$G$10)</f>
        <v>0</v>
      </c>
      <c r="Q56" s="107">
        <f>IF($E$36=5,($E$22/365)*$C56*$E$36*$F56*Simulation!$G$10,(($E$22/365)*$M56*Simulation!$G$10)+($E$22/365)*$N56*$F56*Simulation!$G$10)</f>
        <v>0</v>
      </c>
      <c r="R56" s="107">
        <f>IF($E$36=5,($E$23*$E$24/365)*$C56*$E$36*$F56*Simulation!$G$10,(($E$23*$E$24/365)*$M56*Simulation!$G$10)+($E$23*$E$24/365)*$N56*$F56*Simulation!$G$10)</f>
        <v>0</v>
      </c>
    </row>
    <row r="57" spans="1:18" s="25" customFormat="1" ht="15" x14ac:dyDescent="0.25">
      <c r="A57" s="60">
        <v>43739</v>
      </c>
      <c r="B57" s="61">
        <v>43739</v>
      </c>
      <c r="C57" s="62">
        <f>MAX(0,MIN(EOMONTH(B57,0),Simulation!$G$12)-MAX(B57,Simulation!$G$11)+1)</f>
        <v>0</v>
      </c>
      <c r="D57" s="182"/>
      <c r="E57" s="195"/>
      <c r="F57" s="62">
        <f>Parameters!B30</f>
        <v>1.5225</v>
      </c>
      <c r="G57" s="63">
        <f t="shared" si="0"/>
        <v>31</v>
      </c>
      <c r="H57" s="186"/>
      <c r="I57" s="64">
        <f>IF(Simulation!$G$12&gt;=$B$111,IF(AND(YEAR(Simulation!$G$11)=YEAR(A57),MONTH(A57)=MONTH(Simulation!$G$11)),1,0),0)</f>
        <v>0</v>
      </c>
      <c r="J57" s="65">
        <f>IF($H$36=0,0,IF($H$36=1,SUM(I45:I57),IF($H$36=2,SUM(I33:I57),IF($H$36=3,SUM(I23:I57),IF($H$36=4,SUM(I16:I57),"more than 4 years")))))</f>
        <v>0</v>
      </c>
      <c r="K57" s="66" t="str">
        <f t="shared" si="1"/>
        <v>ok</v>
      </c>
      <c r="L57" s="66">
        <f>IF(J57=1,IF(J58=0,IF(DAY(Simulation!$G$11)=1,0,DAY(Simulation!$G$11)-1),0),0)</f>
        <v>0</v>
      </c>
      <c r="M57" s="63">
        <f>IF(AND(J56=1,J57=1,J58=0,DAY(Simulation!$G$11)=1),0,IF(J57=1,IF(L57&lt;&gt;0,L57,C57),0))</f>
        <v>0</v>
      </c>
      <c r="N57" s="67">
        <f t="shared" si="2"/>
        <v>0</v>
      </c>
      <c r="O57" s="68">
        <f>IF($E$36=5,(($B$28*$B$12)/365)*$C57*$E$36*$F57*Simulation!$G$10,((($B$28*$B$12)/365)*$M57*Simulation!$G$10)+(($B$28*$B$12)/365)*$N57*$F57*Simulation!$G$10)</f>
        <v>0</v>
      </c>
      <c r="P57" s="69">
        <f>IF($E$36=5,(($B$29*$B$13)/365)*$C57*$E$36*$F57*Simulation!$G$10,((($B$29*$B$13)/365)*$M57*Simulation!$G$10)+(($B$29*$B$13)/365)*$N57*$F57*Simulation!$G$10)</f>
        <v>0</v>
      </c>
      <c r="Q57" s="107">
        <f>IF($E$36=5,($E$22/365)*$C57*$E$36*$F57*Simulation!$G$10,(($E$22/365)*$M57*Simulation!$G$10)+($E$22/365)*$N57*$F57*Simulation!$G$10)</f>
        <v>0</v>
      </c>
      <c r="R57" s="107">
        <f>IF($E$36=5,($E$23*$E$24/365)*$C57*$E$36*$F57*Simulation!$G$10,(($E$23*$E$24/365)*$M57*Simulation!$G$10)+($E$23*$E$24/365)*$N57*$F57*Simulation!$G$10)</f>
        <v>0</v>
      </c>
    </row>
    <row r="58" spans="1:18" s="25" customFormat="1" ht="15" x14ac:dyDescent="0.25">
      <c r="A58" s="60">
        <v>43770</v>
      </c>
      <c r="B58" s="61">
        <v>43770</v>
      </c>
      <c r="C58" s="62">
        <f>MAX(0,MIN(EOMONTH(B58,0),Simulation!$G$12)-MAX(B58,Simulation!$G$11)+1)</f>
        <v>0</v>
      </c>
      <c r="D58" s="182"/>
      <c r="E58" s="195"/>
      <c r="F58" s="62">
        <f>Parameters!B31</f>
        <v>2.0299999999999998</v>
      </c>
      <c r="G58" s="63">
        <f t="shared" si="0"/>
        <v>30</v>
      </c>
      <c r="H58" s="186"/>
      <c r="I58" s="64">
        <f>IF(Simulation!$G$12&gt;=$B$111,IF(AND(YEAR(Simulation!$G$11)=YEAR(A58),MONTH(A58)=MONTH(Simulation!$G$11)),1,0),0)</f>
        <v>0</v>
      </c>
      <c r="J58" s="65">
        <f>IF($H$36=0,0,IF($H$36=1,SUM(I46:I58),IF($H$36=2,SUM(I34:I58),IF($H$36=3,SUM(I23:I58),IF($H$36=4,SUM(I16:I58),"more than 4 years")))))</f>
        <v>0</v>
      </c>
      <c r="K58" s="66" t="str">
        <f t="shared" si="1"/>
        <v>ok</v>
      </c>
      <c r="L58" s="66">
        <f>IF(J58=1,IF(J59=0,IF(DAY(Simulation!$G$11)=1,0,DAY(Simulation!$G$11)-1),0),0)</f>
        <v>0</v>
      </c>
      <c r="M58" s="63">
        <f>IF(AND(J57=1,J58=1,J59=0,DAY(Simulation!$G$11)=1),0,IF(J58=1,IF(L58&lt;&gt;0,L58,C58),0))</f>
        <v>0</v>
      </c>
      <c r="N58" s="67">
        <f t="shared" si="2"/>
        <v>0</v>
      </c>
      <c r="O58" s="68">
        <f>IF($E$36=5,(($B$28*$B$12)/365)*$C58*$E$36*$F58*Simulation!$G$10,((($B$28*$B$12)/365)*$M58*Simulation!$G$10)+(($B$28*$B$12)/365)*$N58*$F58*Simulation!$G$10)</f>
        <v>0</v>
      </c>
      <c r="P58" s="69">
        <f>IF($E$36=5,(($B$29*$B$13)/365)*$C58*$E$36*$F58*Simulation!$G$10,((($B$29*$B$13)/365)*$M58*Simulation!$G$10)+(($B$29*$B$13)/365)*$N58*$F58*Simulation!$G$10)</f>
        <v>0</v>
      </c>
      <c r="Q58" s="107">
        <f>IF($E$36=5,($E$22/365)*$C58*$E$36*$F58*Simulation!$G$10,(($E$22/365)*$M58*Simulation!$G$10)+($E$22/365)*$N58*$F58*Simulation!$G$10)</f>
        <v>0</v>
      </c>
      <c r="R58" s="107">
        <f>IF($E$36=5,($E$23*$E$24/365)*$C58*$E$36*$F58*Simulation!$G$10,(($E$23*$E$24/365)*$M58*Simulation!$G$10)+($E$23*$E$24/365)*$N58*$F58*Simulation!$G$10)</f>
        <v>0</v>
      </c>
    </row>
    <row r="59" spans="1:18" s="25" customFormat="1" ht="15" x14ac:dyDescent="0.25">
      <c r="A59" s="60">
        <v>43800</v>
      </c>
      <c r="B59" s="61">
        <v>43800</v>
      </c>
      <c r="C59" s="62">
        <f>MAX(0,MIN(EOMONTH(B59,0),Simulation!$G$12)-MAX(B59,Simulation!$G$11)+1)</f>
        <v>0</v>
      </c>
      <c r="D59" s="182"/>
      <c r="E59" s="195"/>
      <c r="F59" s="62">
        <f>Parameters!B32</f>
        <v>2.3199999999999998</v>
      </c>
      <c r="G59" s="63">
        <f t="shared" si="0"/>
        <v>31</v>
      </c>
      <c r="H59" s="186"/>
      <c r="I59" s="64">
        <f>IF(Simulation!$G$12&gt;=$B$111,IF(AND(YEAR(Simulation!$G$11)=YEAR(A59),MONTH(A59)=MONTH(Simulation!$G$11)),1,0),0)</f>
        <v>0</v>
      </c>
      <c r="J59" s="65">
        <f>IF($H$36=0,0,IF($H$36=1,SUM(I47:I59),IF($H$36=2,SUM(I35:I59),IF($H$36=3,SUM(I24:I59),IF($H$36=4,SUM(I16:I59),"more than 4 years")))))</f>
        <v>0</v>
      </c>
      <c r="K59" s="66" t="str">
        <f t="shared" si="1"/>
        <v>ok</v>
      </c>
      <c r="L59" s="66">
        <f>IF(J59=1,IF(J60=0,IF(DAY(Simulation!$G$11)=1,0,DAY(Simulation!$G$11)-1),0),0)</f>
        <v>0</v>
      </c>
      <c r="M59" s="63">
        <f>IF(AND(J58=1,J59=1,J60=0,DAY(Simulation!$G$11)=1),0,IF(J59=1,IF(L59&lt;&gt;0,L59,C59),0))</f>
        <v>0</v>
      </c>
      <c r="N59" s="67">
        <f t="shared" si="2"/>
        <v>0</v>
      </c>
      <c r="O59" s="68">
        <f>IF($E$36=5,(($B$28*$B$12)/365)*$C59*$E$36*$F59*Simulation!$G$10,((($B$28*$B$12)/365)*$M59*Simulation!$G$10)+(($B$28*$B$12)/365)*$N59*$F59*Simulation!$G$10)</f>
        <v>0</v>
      </c>
      <c r="P59" s="69">
        <f>IF($E$36=5,(($B$29*$B$13)/365)*$C59*$E$36*$F59*Simulation!$G$10,((($B$29*$B$13)/365)*$M59*Simulation!$G$10)+(($B$29*$B$13)/365)*$N59*$F59*Simulation!$G$10)</f>
        <v>0</v>
      </c>
      <c r="Q59" s="107">
        <f>IF($E$36=5,($E$22/365)*$C59*$E$36*$F59*Simulation!$G$10,(($E$22/365)*$M59*Simulation!$G$10)+($E$22/365)*$N59*$F59*Simulation!$G$10)</f>
        <v>0</v>
      </c>
      <c r="R59" s="107">
        <f>IF($E$36=5,($E$23*$E$24/365)*$C59*$E$36*$F59*Simulation!$G$10,(($E$23*$E$24/365)*$M59*Simulation!$G$10)+($E$23*$E$24/365)*$N59*$F59*Simulation!$G$10)</f>
        <v>0</v>
      </c>
    </row>
    <row r="60" spans="1:18" s="25" customFormat="1" ht="15" x14ac:dyDescent="0.25">
      <c r="A60" s="60">
        <v>43831</v>
      </c>
      <c r="B60" s="61">
        <v>43831</v>
      </c>
      <c r="C60" s="62">
        <f>MAX(0,MIN(EOMONTH(B60,0),Simulation!$G$12)-MAX(B60,Simulation!$G$11)+1)</f>
        <v>31</v>
      </c>
      <c r="D60" s="182"/>
      <c r="E60" s="195"/>
      <c r="F60" s="62">
        <f>Parameters!B21</f>
        <v>2.5375000000000001</v>
      </c>
      <c r="G60" s="63">
        <f t="shared" si="0"/>
        <v>31</v>
      </c>
      <c r="H60" s="186"/>
      <c r="I60" s="64">
        <f>IF(Simulation!$G$12&gt;=$B$111,IF(AND(YEAR(Simulation!$G$11)=YEAR(A60),MONTH(A60)=MONTH(Simulation!$G$11)),1,0),0)</f>
        <v>0</v>
      </c>
      <c r="J60" s="65">
        <f>IF($H$36=0,0,IF($H$36=1,SUM(I48:I60),IF($H$36=2,SUM(I36:I60),IF($H$36=3,SUM(I25:I60),IF($H$36=4,SUM(I16:I60),"more than 4 years")))))</f>
        <v>0</v>
      </c>
      <c r="K60" s="66" t="str">
        <f t="shared" si="1"/>
        <v>ok</v>
      </c>
      <c r="L60" s="66">
        <f>IF(J60=1,IF(J61=0,IF(DAY(Simulation!$G$11)=1,0,DAY(Simulation!$G$11)-1),0),0)</f>
        <v>0</v>
      </c>
      <c r="M60" s="63">
        <f>IF(AND(J59=1,J60=1,J61=0,DAY(Simulation!$G$11)=1),0,IF(J60=1,IF(L60&lt;&gt;0,L60,C60),0))</f>
        <v>0</v>
      </c>
      <c r="N60" s="67">
        <f t="shared" si="2"/>
        <v>31</v>
      </c>
      <c r="O60" s="68">
        <f>IF($E$36=5,(($B$28*$B$12)/365)*$C60*$E$36*$F60*Simulation!$G$10,((($B$28*$B$12)/365)*$M60*Simulation!$G$10)+(($B$28*$B$12)/365)*$N60*$F60*Simulation!$G$10)</f>
        <v>338787.53424657538</v>
      </c>
      <c r="P60" s="69">
        <f>IF($E$36=5,(($B$29*$B$13)/365)*$C60*$E$36*$F60*Simulation!$G$10,((($B$29*$B$13)/365)*$M60*Simulation!$G$10)+(($B$29*$B$13)/365)*$N60*$F60*Simulation!$G$10)</f>
        <v>199457.92808219176</v>
      </c>
      <c r="Q60" s="107">
        <f>IF($E$36=5,($E$22/365)*$C60*$E$36*$F60*Simulation!$G$10,(($E$22/365)*$M60*Simulation!$G$10)+($E$22/365)*$N60*$F60*Simulation!$G$10)</f>
        <v>0</v>
      </c>
      <c r="R60" s="107">
        <f>IF($E$36=5,($E$23*$E$24/365)*$C60*$E$36*$F60*Simulation!$G$10,(($E$23*$E$24/365)*$M60*Simulation!$G$10)+($E$23*$E$24/365)*$N60*$F60*Simulation!$G$10)</f>
        <v>0</v>
      </c>
    </row>
    <row r="61" spans="1:18" s="25" customFormat="1" ht="15" x14ac:dyDescent="0.25">
      <c r="A61" s="60">
        <v>43862</v>
      </c>
      <c r="B61" s="61">
        <v>43862</v>
      </c>
      <c r="C61" s="62">
        <f>MAX(0,MIN(EOMONTH(B61,0),Simulation!$G$12)-MAX(B61,Simulation!$G$11)+1)</f>
        <v>29</v>
      </c>
      <c r="D61" s="182"/>
      <c r="E61" s="195"/>
      <c r="F61" s="62">
        <f>Parameters!B22</f>
        <v>2.2475000000000001</v>
      </c>
      <c r="G61" s="63">
        <f t="shared" si="0"/>
        <v>29</v>
      </c>
      <c r="H61" s="186"/>
      <c r="I61" s="64">
        <f>IF(Simulation!$G$12&gt;=$B$111,IF(AND(YEAR(Simulation!$G$11)=YEAR(A61),MONTH(A61)=MONTH(Simulation!$G$11)),1,0),0)</f>
        <v>0</v>
      </c>
      <c r="J61" s="65">
        <f>IF($H$36=0,0,IF($H$36=1,SUM(I49:I61),IF($H$36=2,SUM(I37:I61),IF($H$36=3,SUM(I26:I61),IF($H$36=4,SUM(I17:I61),"more than 4 years")))))</f>
        <v>0</v>
      </c>
      <c r="K61" s="66" t="str">
        <f t="shared" si="1"/>
        <v>ok</v>
      </c>
      <c r="L61" s="66">
        <f>IF(J61=1,IF(J62=0,IF(DAY(Simulation!$G$11)=1,0,DAY(Simulation!$G$11)-1),0),0)</f>
        <v>0</v>
      </c>
      <c r="M61" s="63">
        <f>IF(AND(J60=1,J61=1,J62=0,DAY(Simulation!$G$11)=1),0,IF(J61=1,IF(L61&lt;&gt;0,L61,C61),0))</f>
        <v>0</v>
      </c>
      <c r="N61" s="67">
        <f t="shared" si="2"/>
        <v>29</v>
      </c>
      <c r="O61" s="68">
        <f>IF($E$36=5,(($B$28*$B$12)/365)*$C61*$E$36*$F61*Simulation!$G$10,((($B$28*$B$12)/365)*$M61*Simulation!$G$10)+(($B$28*$B$12)/365)*$N61*$F61*Simulation!$G$10)</f>
        <v>280709.67123287678</v>
      </c>
      <c r="P61" s="69">
        <f>IF($E$36=5,(($B$29*$B$13)/365)*$C61*$E$36*$F61*Simulation!$G$10,((($B$29*$B$13)/365)*$M61*Simulation!$G$10)+(($B$29*$B$13)/365)*$N61*$F61*Simulation!$G$10)</f>
        <v>165265.14041095891</v>
      </c>
      <c r="Q61" s="107">
        <f>IF($E$36=5,($E$22/365)*$C61*$E$36*$F61*Simulation!$G$10,(($E$22/365)*$M61*Simulation!$G$10)+($E$22/365)*$N61*$F61*Simulation!$G$10)</f>
        <v>0</v>
      </c>
      <c r="R61" s="107">
        <f>IF($E$36=5,($E$23*$E$24/365)*$C61*$E$36*$F61*Simulation!$G$10,(($E$23*$E$24/365)*$M61*Simulation!$G$10)+($E$23*$E$24/365)*$N61*$F61*Simulation!$G$10)</f>
        <v>0</v>
      </c>
    </row>
    <row r="62" spans="1:18" s="25" customFormat="1" ht="15" x14ac:dyDescent="0.25">
      <c r="A62" s="60">
        <v>43891</v>
      </c>
      <c r="B62" s="61">
        <v>43891</v>
      </c>
      <c r="C62" s="62">
        <f>MAX(0,MIN(EOMONTH(B62,0),Simulation!$G$12)-MAX(B62,Simulation!$G$11)+1)</f>
        <v>31</v>
      </c>
      <c r="D62" s="182"/>
      <c r="E62" s="195"/>
      <c r="F62" s="62">
        <f>Parameters!B23</f>
        <v>1.885</v>
      </c>
      <c r="G62" s="63">
        <f t="shared" si="0"/>
        <v>31</v>
      </c>
      <c r="H62" s="186"/>
      <c r="I62" s="64">
        <f>IF(Simulation!$G$12&gt;=$B$111,IF(AND(YEAR(Simulation!$G$11)=YEAR(A62),MONTH(A62)=MONTH(Simulation!$G$11)),1,0),0)</f>
        <v>0</v>
      </c>
      <c r="J62" s="65">
        <f>IF($H$36=0,0,IF($H$36=1,SUM(I50:I62),IF($H$36=2,SUM(I38:I62),IF($H$36=3,SUM(I27:I62),IF($H$36=4,SUM(I17:I62),"more than 4 years")))))</f>
        <v>0</v>
      </c>
      <c r="K62" s="66" t="str">
        <f t="shared" si="1"/>
        <v>ok</v>
      </c>
      <c r="L62" s="66">
        <f>IF(J62=1,IF(J63=0,IF(DAY(Simulation!$G$11)=1,0,DAY(Simulation!$G$11)-1),0),0)</f>
        <v>0</v>
      </c>
      <c r="M62" s="63">
        <f>IF(AND(J61=1,J62=1,J63=0,DAY(Simulation!$G$11)=1),0,IF(J62=1,IF(L62&lt;&gt;0,L62,C62),0))</f>
        <v>0</v>
      </c>
      <c r="N62" s="67">
        <f t="shared" si="2"/>
        <v>31</v>
      </c>
      <c r="O62" s="68">
        <f>IF($E$36=5,(($B$28*$B$12)/365)*$C62*$E$36*$F62*Simulation!$G$10,((($B$28*$B$12)/365)*$M62*Simulation!$G$10)+(($B$28*$B$12)/365)*$N62*$F62*Simulation!$G$10)</f>
        <v>251670.73972602742</v>
      </c>
      <c r="P62" s="69">
        <f>IF($E$36=5,(($B$29*$B$13)/365)*$C62*$E$36*$F62*Simulation!$G$10,((($B$29*$B$13)/365)*$M62*Simulation!$G$10)+(($B$29*$B$13)/365)*$N62*$F62*Simulation!$G$10)</f>
        <v>148168.74657534246</v>
      </c>
      <c r="Q62" s="107">
        <f>IF($E$36=5,($E$22/365)*$C62*$E$36*$F62*Simulation!$G$10,(($E$22/365)*$M62*Simulation!$G$10)+($E$22/365)*$N62*$F62*Simulation!$G$10)</f>
        <v>0</v>
      </c>
      <c r="R62" s="107">
        <f>IF($E$36=5,($E$23*$E$24/365)*$C62*$E$36*$F62*Simulation!$G$10,(($E$23*$E$24/365)*$M62*Simulation!$G$10)+($E$23*$E$24/365)*$N62*$F62*Simulation!$G$10)</f>
        <v>0</v>
      </c>
    </row>
    <row r="63" spans="1:18" s="25" customFormat="1" ht="15" x14ac:dyDescent="0.25">
      <c r="A63" s="60">
        <v>43922</v>
      </c>
      <c r="B63" s="61">
        <v>43922</v>
      </c>
      <c r="C63" s="62">
        <f>MAX(0,MIN(EOMONTH(B63,0),Simulation!$G$12)-MAX(B63,Simulation!$G$11)+1)</f>
        <v>30</v>
      </c>
      <c r="D63" s="182"/>
      <c r="E63" s="195"/>
      <c r="F63" s="62">
        <f>Parameters!B24</f>
        <v>1.3774999999999999</v>
      </c>
      <c r="G63" s="63">
        <f t="shared" si="0"/>
        <v>30</v>
      </c>
      <c r="H63" s="186"/>
      <c r="I63" s="64">
        <f>IF(Simulation!$G$12&gt;=$B$111,IF(AND(YEAR(Simulation!$G$11)=YEAR(A63),MONTH(A63)=MONTH(Simulation!$G$11)),1,0),0)</f>
        <v>0</v>
      </c>
      <c r="J63" s="65">
        <f>IF($H$36=0,0,IF($H$36=1,SUM(I51:I63),IF($H$36=2,SUM(I39:I63),IF($H$36=3,SUM(I28:I63),IF($H$36=4,SUM(I17:I63),"more than 4 years")))))</f>
        <v>0</v>
      </c>
      <c r="K63" s="66" t="str">
        <f t="shared" si="1"/>
        <v>ok</v>
      </c>
      <c r="L63" s="66">
        <f>IF(J63=1,IF(J64=0,IF(DAY(Simulation!$G$11)=1,0,DAY(Simulation!$G$11)-1),0),0)</f>
        <v>0</v>
      </c>
      <c r="M63" s="63">
        <f>IF(AND(J62=1,J63=1,J64=0,DAY(Simulation!$G$11)=1),0,IF(J63=1,IF(L63&lt;&gt;0,L63,C63),0))</f>
        <v>0</v>
      </c>
      <c r="N63" s="67">
        <f t="shared" si="2"/>
        <v>30</v>
      </c>
      <c r="O63" s="68">
        <f>IF($E$36=5,(($B$28*$B$12)/365)*$C63*$E$36*$F63*Simulation!$G$10,((($B$28*$B$12)/365)*$M63*Simulation!$G$10)+(($B$28*$B$12)/365)*$N63*$F63*Simulation!$G$10)</f>
        <v>177980.5479452055</v>
      </c>
      <c r="P63" s="69">
        <f>IF($E$36=5,(($B$29*$B$13)/365)*$C63*$E$36*$F63*Simulation!$G$10,((($B$29*$B$13)/365)*$M63*Simulation!$G$10)+(($B$29*$B$13)/365)*$N63*$F63*Simulation!$G$10)</f>
        <v>104784.3493150685</v>
      </c>
      <c r="Q63" s="107">
        <f>IF($E$36=5,($E$22/365)*$C63*$E$36*$F63*Simulation!$G$10,(($E$22/365)*$M63*Simulation!$G$10)+($E$22/365)*$N63*$F63*Simulation!$G$10)</f>
        <v>0</v>
      </c>
      <c r="R63" s="107">
        <f>IF($E$36=5,($E$23*$E$24/365)*$C63*$E$36*$F63*Simulation!$G$10,(($E$23*$E$24/365)*$M63*Simulation!$G$10)+($E$23*$E$24/365)*$N63*$F63*Simulation!$G$10)</f>
        <v>0</v>
      </c>
    </row>
    <row r="64" spans="1:18" s="25" customFormat="1" ht="15" x14ac:dyDescent="0.25">
      <c r="A64" s="60">
        <v>43952</v>
      </c>
      <c r="B64" s="61">
        <v>43952</v>
      </c>
      <c r="C64" s="62">
        <f>MAX(0,MIN(EOMONTH(B64,0),Simulation!$G$12)-MAX(B64,Simulation!$G$11)+1)</f>
        <v>31</v>
      </c>
      <c r="D64" s="182"/>
      <c r="E64" s="195"/>
      <c r="F64" s="62">
        <f>Parameters!B25</f>
        <v>0.9425</v>
      </c>
      <c r="G64" s="63">
        <f t="shared" si="0"/>
        <v>31</v>
      </c>
      <c r="H64" s="186"/>
      <c r="I64" s="64">
        <f>IF(Simulation!$G$12&gt;=$B$111,IF(AND(YEAR(Simulation!$G$11)=YEAR(A64),MONTH(A64)=MONTH(Simulation!$G$11)),1,0),0)</f>
        <v>0</v>
      </c>
      <c r="J64" s="65">
        <f>IF($H$36=0,0,IF($H$36=1,SUM(I52:I64),IF($H$36=2,SUM(I40:I64),IF($H$36=3,SUM(I30:I64),IF($H$36=4,SUM(I18:I64),"more than 4 years")))))</f>
        <v>0</v>
      </c>
      <c r="K64" s="66" t="str">
        <f t="shared" si="1"/>
        <v>ok</v>
      </c>
      <c r="L64" s="66">
        <f>IF(J64=1,IF(J65=0,IF(DAY(Simulation!$G$11)=1,0,DAY(Simulation!$G$11)-1),0),0)</f>
        <v>0</v>
      </c>
      <c r="M64" s="63">
        <f>IF(AND(J63=1,J64=1,J65=0,DAY(Simulation!$G$11)=1),0,IF(J64=1,IF(L64&lt;&gt;0,L64,C64),0))</f>
        <v>0</v>
      </c>
      <c r="N64" s="67">
        <f t="shared" si="2"/>
        <v>31</v>
      </c>
      <c r="O64" s="68">
        <f>IF($E$36=5,(($B$28*$B$12)/365)*$C64*$E$36*$F64*Simulation!$G$10,((($B$28*$B$12)/365)*$M64*Simulation!$G$10)+(($B$28*$B$12)/365)*$N64*$F64*Simulation!$G$10)</f>
        <v>125835.36986301371</v>
      </c>
      <c r="P64" s="69">
        <f>IF($E$36=5,(($B$29*$B$13)/365)*$C64*$E$36*$F64*Simulation!$G$10,((($B$29*$B$13)/365)*$M64*Simulation!$G$10)+(($B$29*$B$13)/365)*$N64*$F64*Simulation!$G$10)</f>
        <v>74084.373287671231</v>
      </c>
      <c r="Q64" s="107">
        <f>IF($E$36=5,($E$22/365)*$C64*$E$36*$F64*Simulation!$G$10,(($E$22/365)*$M64*Simulation!$G$10)+($E$22/365)*$N64*$F64*Simulation!$G$10)</f>
        <v>0</v>
      </c>
      <c r="R64" s="107">
        <f>IF($E$36=5,($E$23*$E$24/365)*$C64*$E$36*$F64*Simulation!$G$10,(($E$23*$E$24/365)*$M64*Simulation!$G$10)+($E$23*$E$24/365)*$N64*$F64*Simulation!$G$10)</f>
        <v>0</v>
      </c>
    </row>
    <row r="65" spans="1:18" s="25" customFormat="1" ht="15" x14ac:dyDescent="0.25">
      <c r="A65" s="60">
        <v>43983</v>
      </c>
      <c r="B65" s="61">
        <v>43983</v>
      </c>
      <c r="C65" s="62">
        <f>MAX(0,MIN(EOMONTH(B65,0),Simulation!$G$12)-MAX(B65,Simulation!$G$11)+1)</f>
        <v>30</v>
      </c>
      <c r="D65" s="182"/>
      <c r="E65" s="195"/>
      <c r="F65" s="62">
        <f>Parameters!B26</f>
        <v>0.72499999999999998</v>
      </c>
      <c r="G65" s="63">
        <f t="shared" si="0"/>
        <v>30</v>
      </c>
      <c r="H65" s="186"/>
      <c r="I65" s="64">
        <f>IF(Simulation!$G$12&gt;=$B$111,IF(AND(YEAR(Simulation!$G$11)=YEAR(A65),MONTH(A65)=MONTH(Simulation!$G$11)),1,0),0)</f>
        <v>0</v>
      </c>
      <c r="J65" s="65">
        <f>IF($H$36=0,0,IF($H$36=1,SUM(I53:I65),IF($H$36=2,SUM(I41:I65),IF($H$36=3,SUM(I30:I65),IF($H$36=4,SUM(I19:I65),"more than 4 years")))))</f>
        <v>0</v>
      </c>
      <c r="K65" s="66" t="str">
        <f t="shared" si="1"/>
        <v>ok</v>
      </c>
      <c r="L65" s="66">
        <f>IF(J65=1,IF(J66=0,IF(DAY(Simulation!$G$11)=1,0,DAY(Simulation!$G$11)-1),0),0)</f>
        <v>0</v>
      </c>
      <c r="M65" s="63">
        <f>IF(AND(J64=1,J65=1,J66=0,DAY(Simulation!$G$11)=1),0,IF(J65=1,IF(L65&lt;&gt;0,L65,C65),0))</f>
        <v>0</v>
      </c>
      <c r="N65" s="67">
        <f t="shared" si="2"/>
        <v>30</v>
      </c>
      <c r="O65" s="68">
        <f>IF($E$36=5,(($B$28*$B$12)/365)*$C65*$E$36*$F65*Simulation!$G$10,((($B$28*$B$12)/365)*$M65*Simulation!$G$10)+(($B$28*$B$12)/365)*$N65*$F65*Simulation!$G$10)</f>
        <v>93673.972602739726</v>
      </c>
      <c r="P65" s="69">
        <f>IF($E$36=5,(($B$29*$B$13)/365)*$C65*$E$36*$F65*Simulation!$G$10,((($B$29*$B$13)/365)*$M65*Simulation!$G$10)+(($B$29*$B$13)/365)*$N65*$F65*Simulation!$G$10)</f>
        <v>55149.657534246573</v>
      </c>
      <c r="Q65" s="107">
        <f>IF($E$36=5,($E$22/365)*$C65*$E$36*$F65*Simulation!$G$10,(($E$22/365)*$M65*Simulation!$G$10)+($E$22/365)*$N65*$F65*Simulation!$G$10)</f>
        <v>0</v>
      </c>
      <c r="R65" s="107">
        <f>IF($E$36=5,($E$23*$E$24/365)*$C65*$E$36*$F65*Simulation!$G$10,(($E$23*$E$24/365)*$M65*Simulation!$G$10)+($E$23*$E$24/365)*$N65*$F65*Simulation!$G$10)</f>
        <v>0</v>
      </c>
    </row>
    <row r="66" spans="1:18" s="25" customFormat="1" ht="15" x14ac:dyDescent="0.25">
      <c r="A66" s="60">
        <v>44013</v>
      </c>
      <c r="B66" s="61">
        <v>44013</v>
      </c>
      <c r="C66" s="62">
        <f>MAX(0,MIN(EOMONTH(B66,0),Simulation!$G$12)-MAX(B66,Simulation!$G$11)+1)</f>
        <v>0</v>
      </c>
      <c r="D66" s="182"/>
      <c r="E66" s="195"/>
      <c r="F66" s="62">
        <f>Parameters!B27</f>
        <v>0.72499999999999998</v>
      </c>
      <c r="G66" s="63">
        <f t="shared" si="0"/>
        <v>31</v>
      </c>
      <c r="H66" s="186"/>
      <c r="I66" s="64">
        <f>IF(Simulation!$G$12&gt;=$B$111,IF(AND(YEAR(Simulation!$G$11)=YEAR(A66),MONTH(A66)=MONTH(Simulation!$G$11)),1,0),0)</f>
        <v>0</v>
      </c>
      <c r="J66" s="65">
        <f>IF($H$36=0,0,IF($H$36=1,SUM(I54:I66),IF($H$36=2,SUM(I42:I66),IF($H$36=3,SUM(I30:I66),IF($H$36=4,SUM(I20:I66),"more than 4 years")))))</f>
        <v>0</v>
      </c>
      <c r="K66" s="66" t="str">
        <f t="shared" si="1"/>
        <v>ok</v>
      </c>
      <c r="L66" s="66">
        <f>IF(J66=1,IF(J67=0,IF(DAY(Simulation!$G$11)=1,0,DAY(Simulation!$G$11)-1),0),0)</f>
        <v>0</v>
      </c>
      <c r="M66" s="63">
        <f>IF(AND(J65=1,J66=1,J67=0,DAY(Simulation!$G$11)=1),0,IF(J66=1,IF(L66&lt;&gt;0,L66,C66),0))</f>
        <v>0</v>
      </c>
      <c r="N66" s="67">
        <f t="shared" si="2"/>
        <v>0</v>
      </c>
      <c r="O66" s="68">
        <f>IF($E$36=5,(($B$28*$B$12)/365)*$C66*$E$36*$F66*Simulation!$G$10,((($B$28*$B$12)/365)*$M66*Simulation!$G$10)+(($B$28*$B$12)/365)*$N66*$F66*Simulation!$G$10)</f>
        <v>0</v>
      </c>
      <c r="P66" s="69">
        <f>IF($E$36=5,(($B$29*$B$13)/365)*$C66*$E$36*$F66*Simulation!$G$10,((($B$29*$B$13)/365)*$M66*Simulation!$G$10)+(($B$29*$B$13)/365)*$N66*$F66*Simulation!$G$10)</f>
        <v>0</v>
      </c>
      <c r="Q66" s="107">
        <f>IF($E$36=5,($E$22/365)*$C66*$E$36*$F66*Simulation!$G$10,(($E$22/365)*$M66*Simulation!$G$10)+($E$22/365)*$N66*$F66*Simulation!$G$10)</f>
        <v>0</v>
      </c>
      <c r="R66" s="107">
        <f>IF($E$36=5,($E$23*$E$24/365)*$C66*$E$36*$F66*Simulation!$G$10,(($E$23*$E$24/365)*$M66*Simulation!$G$10)+($E$23*$E$24/365)*$N66*$F66*Simulation!$G$10)</f>
        <v>0</v>
      </c>
    </row>
    <row r="67" spans="1:18" s="25" customFormat="1" ht="15" x14ac:dyDescent="0.25">
      <c r="A67" s="60">
        <v>44044</v>
      </c>
      <c r="B67" s="61">
        <v>44044</v>
      </c>
      <c r="C67" s="62">
        <f>MAX(0,MIN(EOMONTH(B67,0),Simulation!$G$12)-MAX(B67,Simulation!$G$11)+1)</f>
        <v>0</v>
      </c>
      <c r="D67" s="182"/>
      <c r="E67" s="195"/>
      <c r="F67" s="62">
        <f>Parameters!B28</f>
        <v>0.72499999999999998</v>
      </c>
      <c r="G67" s="63">
        <f t="shared" si="0"/>
        <v>31</v>
      </c>
      <c r="H67" s="186"/>
      <c r="I67" s="64">
        <f>IF(Simulation!$G$12&gt;=$B$111,IF(AND(YEAR(Simulation!$G$11)=YEAR(A67),MONTH(A67)=MONTH(Simulation!$G$11)),1,0),0)</f>
        <v>0</v>
      </c>
      <c r="J67" s="65">
        <f>IF($H$36=0,0,IF($H$36=1,SUM(I55:I67),IF($H$36=2,SUM(I43:I67),IF($H$36=3,SUM(I31:I67),IF($H$36=4,SUM(I21:I67),"more than 4 years")))))</f>
        <v>0</v>
      </c>
      <c r="K67" s="66" t="str">
        <f t="shared" si="1"/>
        <v>ok</v>
      </c>
      <c r="L67" s="66">
        <f>IF(J67=1,IF(J68=0,IF(DAY(Simulation!$G$11)=1,0,DAY(Simulation!$G$11)-1),0),0)</f>
        <v>0</v>
      </c>
      <c r="M67" s="63">
        <f>IF(AND(J66=1,J67=1,J68=0,DAY(Simulation!$G$11)=1),0,IF(J67=1,IF(L67&lt;&gt;0,L67,C67),0))</f>
        <v>0</v>
      </c>
      <c r="N67" s="67">
        <f t="shared" si="2"/>
        <v>0</v>
      </c>
      <c r="O67" s="68">
        <f>IF($E$36=5,(($B$28*$B$12)/365)*$C67*$E$36*$F67*Simulation!$G$10,((($B$28*$B$12)/365)*$M67*Simulation!$G$10)+(($B$28*$B$12)/365)*$N67*$F67*Simulation!$G$10)</f>
        <v>0</v>
      </c>
      <c r="P67" s="69">
        <f>IF($E$36=5,(($B$29*$B$13)/365)*$C67*$E$36*$F67*Simulation!$G$10,((($B$29*$B$13)/365)*$M67*Simulation!$G$10)+(($B$29*$B$13)/365)*$N67*$F67*Simulation!$G$10)</f>
        <v>0</v>
      </c>
      <c r="Q67" s="107">
        <f>IF($E$36=5,($E$22/365)*$C67*$E$36*$F67*Simulation!$G$10,(($E$22/365)*$M67*Simulation!$G$10)+($E$22/365)*$N67*$F67*Simulation!$G$10)</f>
        <v>0</v>
      </c>
      <c r="R67" s="107">
        <f>IF($E$36=5,($E$23*$E$24/365)*$C67*$E$36*$F67*Simulation!$G$10,(($E$23*$E$24/365)*$M67*Simulation!$G$10)+($E$23*$E$24/365)*$N67*$F67*Simulation!$G$10)</f>
        <v>0</v>
      </c>
    </row>
    <row r="68" spans="1:18" s="25" customFormat="1" ht="15" x14ac:dyDescent="0.25">
      <c r="A68" s="60">
        <v>44075</v>
      </c>
      <c r="B68" s="61">
        <v>44075</v>
      </c>
      <c r="C68" s="62">
        <f>MAX(0,MIN(EOMONTH(B68,0),Simulation!$G$12)-MAX(B68,Simulation!$G$11)+1)</f>
        <v>0</v>
      </c>
      <c r="D68" s="182"/>
      <c r="E68" s="195"/>
      <c r="F68" s="62">
        <f>Parameters!B29</f>
        <v>0.9425</v>
      </c>
      <c r="G68" s="63">
        <f t="shared" ref="G68:G107" si="3">DAY(EOMONTH(A68,0))</f>
        <v>30</v>
      </c>
      <c r="H68" s="186"/>
      <c r="I68" s="64">
        <f>IF(Simulation!$G$12&gt;=$B$111,IF(AND(YEAR(Simulation!$G$11)=YEAR(A68),MONTH(A68)=MONTH(Simulation!$G$11)),1,0),0)</f>
        <v>0</v>
      </c>
      <c r="J68" s="65">
        <f>IF($H$36=0,0,IF($H$36=1,SUM(I56:I68),IF($H$36=2,SUM(I44:I68),IF($H$36=3,SUM(I32:I68),IF($H$36=4,SUM(I22:I68),"more than 4 years")))))</f>
        <v>0</v>
      </c>
      <c r="K68" s="66" t="str">
        <f t="shared" ref="K68:K95" si="4">IF((M68+N68)&lt;&gt;C68,"issue","ok")</f>
        <v>ok</v>
      </c>
      <c r="L68" s="66">
        <f>IF(J68=1,IF(J69=0,IF(DAY(Simulation!$G$11)=1,0,DAY(Simulation!$G$11)-1),0),0)</f>
        <v>0</v>
      </c>
      <c r="M68" s="63">
        <f>IF(AND(J67=1,J68=1,J69=0,DAY(Simulation!$G$11)=1),0,IF(J68=1,IF(L68&lt;&gt;0,L68,C68),0))</f>
        <v>0</v>
      </c>
      <c r="N68" s="67">
        <f t="shared" ref="N68:N95" si="5">MAX(0,C68-M68)</f>
        <v>0</v>
      </c>
      <c r="O68" s="68">
        <f>IF($E$36=5,(($B$28*$B$12)/365)*$C68*$E$36*$F68*Simulation!$G$10,((($B$28*$B$12)/365)*$M68*Simulation!$G$10)+(($B$28*$B$12)/365)*$N68*$F68*Simulation!$G$10)</f>
        <v>0</v>
      </c>
      <c r="P68" s="69">
        <f>IF($E$36=5,(($B$29*$B$13)/365)*$C68*$E$36*$F68*Simulation!$G$10,((($B$29*$B$13)/365)*$M68*Simulation!$G$10)+(($B$29*$B$13)/365)*$N68*$F68*Simulation!$G$10)</f>
        <v>0</v>
      </c>
      <c r="Q68" s="107">
        <f>IF($E$36=5,($E$22/365)*$C68*$E$36*$F68*Simulation!$G$10,(($E$22/365)*$M68*Simulation!$G$10)+($E$22/365)*$N68*$F68*Simulation!$G$10)</f>
        <v>0</v>
      </c>
      <c r="R68" s="107">
        <f>IF($E$36=5,($E$23*$E$24/365)*$C68*$E$36*$F68*Simulation!$G$10,(($E$23*$E$24/365)*$M68*Simulation!$G$10)+($E$23*$E$24/365)*$N68*$F68*Simulation!$G$10)</f>
        <v>0</v>
      </c>
    </row>
    <row r="69" spans="1:18" s="25" customFormat="1" ht="15" x14ac:dyDescent="0.25">
      <c r="A69" s="60">
        <v>44105</v>
      </c>
      <c r="B69" s="61">
        <v>44105</v>
      </c>
      <c r="C69" s="62">
        <f>MAX(0,MIN(EOMONTH(B69,0),Simulation!$G$12)-MAX(B69,Simulation!$G$11)+1)</f>
        <v>0</v>
      </c>
      <c r="D69" s="182"/>
      <c r="E69" s="195"/>
      <c r="F69" s="62">
        <f>Parameters!B30</f>
        <v>1.5225</v>
      </c>
      <c r="G69" s="63">
        <f t="shared" si="3"/>
        <v>31</v>
      </c>
      <c r="H69" s="186"/>
      <c r="I69" s="64">
        <f>IF(Simulation!$G$12&gt;=$B$111,IF(AND(YEAR(Simulation!$G$11)=YEAR(A69),MONTH(A69)=MONTH(Simulation!$G$11)),1,0),0)</f>
        <v>0</v>
      </c>
      <c r="J69" s="65">
        <f>IF($H$36=0,0,IF($H$36=1,SUM(I57:I69),IF($H$36=2,SUM(I45:I69),IF($H$36=3,SUM(I33:I69),IF($H$36=4,SUM(I23:I69),"more than 4 years")))))</f>
        <v>0</v>
      </c>
      <c r="K69" s="66" t="str">
        <f t="shared" si="4"/>
        <v>ok</v>
      </c>
      <c r="L69" s="66">
        <f>IF(J69=1,IF(J70=0,IF(DAY(Simulation!$G$11)=1,0,DAY(Simulation!$G$11)-1),0),0)</f>
        <v>0</v>
      </c>
      <c r="M69" s="63">
        <f>IF(AND(J68=1,J69=1,J70=0,DAY(Simulation!$G$11)=1),0,IF(J69=1,IF(L69&lt;&gt;0,L69,C69),0))</f>
        <v>0</v>
      </c>
      <c r="N69" s="67">
        <f t="shared" si="5"/>
        <v>0</v>
      </c>
      <c r="O69" s="68">
        <f>IF($E$36=5,(($B$28*$B$12)/365)*$C69*$E$36*$F69*Simulation!$G$10,((($B$28*$B$12)/365)*$M69*Simulation!$G$10)+(($B$28*$B$12)/365)*$N69*$F69*Simulation!$G$10)</f>
        <v>0</v>
      </c>
      <c r="P69" s="69">
        <f>IF($E$36=5,(($B$29*$B$13)/365)*$C69*$E$36*$F69*Simulation!$G$10,((($B$29*$B$13)/365)*$M69*Simulation!$G$10)+(($B$29*$B$13)/365)*$N69*$F69*Simulation!$G$10)</f>
        <v>0</v>
      </c>
      <c r="Q69" s="107">
        <f>IF($E$36=5,($E$22/365)*$C69*$E$36*$F69*Simulation!$G$10,(($E$22/365)*$M69*Simulation!$G$10)+($E$22/365)*$N69*$F69*Simulation!$G$10)</f>
        <v>0</v>
      </c>
      <c r="R69" s="107">
        <f>IF($E$36=5,($E$23*$E$24/365)*$C69*$E$36*$F69*Simulation!$G$10,(($E$23*$E$24/365)*$M69*Simulation!$G$10)+($E$23*$E$24/365)*$N69*$F69*Simulation!$G$10)</f>
        <v>0</v>
      </c>
    </row>
    <row r="70" spans="1:18" s="25" customFormat="1" ht="15" x14ac:dyDescent="0.25">
      <c r="A70" s="60">
        <v>44136</v>
      </c>
      <c r="B70" s="61">
        <v>44136</v>
      </c>
      <c r="C70" s="62">
        <f>MAX(0,MIN(EOMONTH(B70,0),Simulation!$G$12)-MAX(B70,Simulation!$G$11)+1)</f>
        <v>0</v>
      </c>
      <c r="D70" s="182"/>
      <c r="E70" s="195"/>
      <c r="F70" s="62">
        <f>Parameters!B31</f>
        <v>2.0299999999999998</v>
      </c>
      <c r="G70" s="63">
        <f t="shared" si="3"/>
        <v>30</v>
      </c>
      <c r="H70" s="186"/>
      <c r="I70" s="64">
        <f>IF(Simulation!$G$12&gt;=$B$111,IF(AND(YEAR(Simulation!$G$11)=YEAR(A70),MONTH(A70)=MONTH(Simulation!$G$11)),1,0),0)</f>
        <v>0</v>
      </c>
      <c r="J70" s="65">
        <f t="shared" ref="J70:J75" si="6">IF($H$36=0,0,IF($H$36=1,SUM(I58:I70),IF($H$36=2,SUM(I46:I70),IF($H$36=3,SUM(I34:I70),IF($H$36=4,SUM(I23:I70),"more than 4 years")))))</f>
        <v>0</v>
      </c>
      <c r="K70" s="66" t="str">
        <f t="shared" si="4"/>
        <v>ok</v>
      </c>
      <c r="L70" s="66">
        <f>IF(J70=1,IF(J71=0,IF(DAY(Simulation!$G$11)=1,0,DAY(Simulation!$G$11)-1),0),0)</f>
        <v>0</v>
      </c>
      <c r="M70" s="63">
        <f>IF(AND(J69=1,J70=1,J71=0,DAY(Simulation!$G$11)=1),0,IF(J70=1,IF(L70&lt;&gt;0,L70,C70),0))</f>
        <v>0</v>
      </c>
      <c r="N70" s="67">
        <f t="shared" si="5"/>
        <v>0</v>
      </c>
      <c r="O70" s="68">
        <f>IF($E$36=5,(($B$28*$B$12)/365)*$C70*$E$36*$F70*Simulation!$G$10,((($B$28*$B$12)/365)*$M70*Simulation!$G$10)+(($B$28*$B$12)/365)*$N70*$F70*Simulation!$G$10)</f>
        <v>0</v>
      </c>
      <c r="P70" s="69">
        <f>IF($E$36=5,(($B$29*$B$13)/365)*$C70*$E$36*$F70*Simulation!$G$10,((($B$29*$B$13)/365)*$M70*Simulation!$G$10)+(($B$29*$B$13)/365)*$N70*$F70*Simulation!$G$10)</f>
        <v>0</v>
      </c>
      <c r="Q70" s="107">
        <f>IF($E$36=5,($E$22/365)*$C70*$E$36*$F70*Simulation!$G$10,(($E$22/365)*$M70*Simulation!$G$10)+($E$22/365)*$N70*$F70*Simulation!$G$10)</f>
        <v>0</v>
      </c>
      <c r="R70" s="107">
        <f>IF($E$36=5,($E$23*$E$24/365)*$C70*$E$36*$F70*Simulation!$G$10,(($E$23*$E$24/365)*$M70*Simulation!$G$10)+($E$23*$E$24/365)*$N70*$F70*Simulation!$G$10)</f>
        <v>0</v>
      </c>
    </row>
    <row r="71" spans="1:18" s="25" customFormat="1" ht="15" x14ac:dyDescent="0.25">
      <c r="A71" s="60">
        <v>44166</v>
      </c>
      <c r="B71" s="61">
        <v>44166</v>
      </c>
      <c r="C71" s="62">
        <f>MAX(0,MIN(EOMONTH(B71,0),Simulation!$G$12)-MAX(B71,Simulation!$G$11)+1)</f>
        <v>0</v>
      </c>
      <c r="D71" s="182"/>
      <c r="E71" s="195"/>
      <c r="F71" s="62">
        <f>Parameters!B32</f>
        <v>2.3199999999999998</v>
      </c>
      <c r="G71" s="63">
        <f t="shared" si="3"/>
        <v>31</v>
      </c>
      <c r="H71" s="186"/>
      <c r="I71" s="64">
        <f>IF(Simulation!$G$12&gt;=$B$111,IF(AND(YEAR(Simulation!$G$11)=YEAR(A71),MONTH(A71)=MONTH(Simulation!$G$11)),1,0),0)</f>
        <v>0</v>
      </c>
      <c r="J71" s="65">
        <f t="shared" si="6"/>
        <v>0</v>
      </c>
      <c r="K71" s="66" t="str">
        <f t="shared" si="4"/>
        <v>ok</v>
      </c>
      <c r="L71" s="66">
        <f>IF(J71=1,IF(J72=0,IF(DAY(Simulation!$G$11)=1,0,DAY(Simulation!$G$11)-1),0),0)</f>
        <v>0</v>
      </c>
      <c r="M71" s="63">
        <f>IF(AND(J70=1,J71=1,J72=0,DAY(Simulation!$G$11)=1),0,IF(J71=1,IF(L71&lt;&gt;0,L71,C71),0))</f>
        <v>0</v>
      </c>
      <c r="N71" s="67">
        <f t="shared" si="5"/>
        <v>0</v>
      </c>
      <c r="O71" s="68">
        <f>IF($E$36=5,(($B$28*$B$12)/365)*$C71*$E$36*$F71*Simulation!$G$10,((($B$28*$B$12)/365)*$M71*Simulation!$G$10)+(($B$28*$B$12)/365)*$N71*$F71*Simulation!$G$10)</f>
        <v>0</v>
      </c>
      <c r="P71" s="69">
        <f>IF($E$36=5,(($B$29*$B$13)/365)*$C71*$E$36*$F71*Simulation!$G$10,((($B$29*$B$13)/365)*$M71*Simulation!$G$10)+(($B$29*$B$13)/365)*$N71*$F71*Simulation!$G$10)</f>
        <v>0</v>
      </c>
      <c r="Q71" s="107">
        <f>IF($E$36=5,($E$22/365)*$C71*$E$36*$F71*Simulation!$G$10,(($E$22/365)*$M71*Simulation!$G$10)+($E$22/365)*$N71*$F71*Simulation!$G$10)</f>
        <v>0</v>
      </c>
      <c r="R71" s="107">
        <f>IF($E$36=5,($E$23*$E$24/365)*$C71*$E$36*$F71*Simulation!$G$10,(($E$23*$E$24/365)*$M71*Simulation!$G$10)+($E$23*$E$24/365)*$N71*$F71*Simulation!$G$10)</f>
        <v>0</v>
      </c>
    </row>
    <row r="72" spans="1:18" s="25" customFormat="1" ht="15" x14ac:dyDescent="0.25">
      <c r="A72" s="60">
        <v>44197</v>
      </c>
      <c r="B72" s="61">
        <v>44197</v>
      </c>
      <c r="C72" s="62">
        <f>MAX(0,MIN(EOMONTH(B72,0),Simulation!$G$12)-MAX(B72,Simulation!$G$11)+1)</f>
        <v>0</v>
      </c>
      <c r="D72" s="182"/>
      <c r="E72" s="195"/>
      <c r="F72" s="62">
        <f>Parameters!B21</f>
        <v>2.5375000000000001</v>
      </c>
      <c r="G72" s="63">
        <f t="shared" si="3"/>
        <v>31</v>
      </c>
      <c r="H72" s="186"/>
      <c r="I72" s="64">
        <f>IF(Simulation!$G$12&gt;=$B$111,IF(AND(YEAR(Simulation!$G$11)=YEAR(A72),MONTH(A72)=MONTH(Simulation!$G$11)),1,0),0)</f>
        <v>0</v>
      </c>
      <c r="J72" s="65">
        <f t="shared" si="6"/>
        <v>0</v>
      </c>
      <c r="K72" s="66" t="str">
        <f t="shared" si="4"/>
        <v>ok</v>
      </c>
      <c r="L72" s="66">
        <f>IF(J72=1,IF(J73=0,IF(DAY(Simulation!$G$11)=1,0,DAY(Simulation!$G$11)-1),0),0)</f>
        <v>0</v>
      </c>
      <c r="M72" s="63">
        <f>IF(AND(J71=1,J72=1,J73=0,DAY(Simulation!$G$11)=1),0,IF(J72=1,IF(L72&lt;&gt;0,L72,C72),0))</f>
        <v>0</v>
      </c>
      <c r="N72" s="67">
        <f t="shared" si="5"/>
        <v>0</v>
      </c>
      <c r="O72" s="68">
        <f>IF($E$36=5,(($B$28*$B$12)/365)*$C72*$E$36*$F72*Simulation!$G$10,((($B$28*$B$12)/365)*$M72*Simulation!$G$10)+(($B$28*$B$12)/365)*$N72*$F72*Simulation!$G$10)</f>
        <v>0</v>
      </c>
      <c r="P72" s="69">
        <f>IF($E$36=5,(($B$29*$B$13)/365)*$C72*$E$36*$F72*Simulation!$G$10,((($B$29*$B$13)/365)*$M72*Simulation!$G$10)+(($B$29*$B$13)/365)*$N72*$F72*Simulation!$G$10)</f>
        <v>0</v>
      </c>
      <c r="Q72" s="107">
        <f>IF($E$36=5,($E$22/365)*$C72*$E$36*$F72*Simulation!$G$10,(($E$22/365)*$M72*Simulation!$G$10)+($E$22/365)*$N72*$F72*Simulation!$G$10)</f>
        <v>0</v>
      </c>
      <c r="R72" s="107">
        <f>IF($E$36=5,($E$23*$E$24/365)*$C72*$E$36*$F72*Simulation!$G$10,(($E$23*$E$24/365)*$M72*Simulation!$G$10)+($E$23*$E$24/365)*$N72*$F72*Simulation!$G$10)</f>
        <v>0</v>
      </c>
    </row>
    <row r="73" spans="1:18" s="25" customFormat="1" ht="15" x14ac:dyDescent="0.25">
      <c r="A73" s="60">
        <v>44228</v>
      </c>
      <c r="B73" s="61">
        <v>44228</v>
      </c>
      <c r="C73" s="62">
        <f>MAX(0,MIN(EOMONTH(B73,0),Simulation!$G$12)-MAX(B73,Simulation!$G$11)+1)</f>
        <v>0</v>
      </c>
      <c r="D73" s="182"/>
      <c r="E73" s="195"/>
      <c r="F73" s="62">
        <f>Parameters!B22</f>
        <v>2.2475000000000001</v>
      </c>
      <c r="G73" s="63">
        <f t="shared" si="3"/>
        <v>28</v>
      </c>
      <c r="H73" s="186"/>
      <c r="I73" s="64">
        <f>IF(Simulation!$G$12&gt;=$B$111,IF(AND(YEAR(Simulation!$G$11)=YEAR(A73),MONTH(A73)=MONTH(Simulation!$G$11)),1,0),0)</f>
        <v>0</v>
      </c>
      <c r="J73" s="65">
        <f t="shared" si="6"/>
        <v>0</v>
      </c>
      <c r="K73" s="66" t="str">
        <f t="shared" si="4"/>
        <v>ok</v>
      </c>
      <c r="L73" s="66">
        <f>IF(J73=1,IF(J74=0,IF(DAY(Simulation!$G$11)=1,0,DAY(Simulation!$G$11)-1),0),0)</f>
        <v>0</v>
      </c>
      <c r="M73" s="63">
        <f>IF(AND(J72=1,J73=1,J74=0,DAY(Simulation!$G$11)=1),0,IF(J73=1,IF(L73&lt;&gt;0,L73,C73),0))</f>
        <v>0</v>
      </c>
      <c r="N73" s="67">
        <f t="shared" si="5"/>
        <v>0</v>
      </c>
      <c r="O73" s="68">
        <f>IF($E$36=5,(($B$28*$B$12)/365)*$C73*$E$36*$F73*Simulation!$G$10,((($B$28*$B$12)/365)*$M73*Simulation!$G$10)+(($B$28*$B$12)/365)*$N73*$F73*Simulation!$G$10)</f>
        <v>0</v>
      </c>
      <c r="P73" s="69">
        <f>IF($E$36=5,(($B$29*$B$13)/365)*$C73*$E$36*$F73*Simulation!$G$10,((($B$29*$B$13)/365)*$M73*Simulation!$G$10)+(($B$29*$B$13)/365)*$N73*$F73*Simulation!$G$10)</f>
        <v>0</v>
      </c>
      <c r="Q73" s="107">
        <f>IF($E$36=5,($E$22/365)*$C73*$E$36*$F73*Simulation!$G$10,(($E$22/365)*$M73*Simulation!$G$10)+($E$22/365)*$N73*$F73*Simulation!$G$10)</f>
        <v>0</v>
      </c>
      <c r="R73" s="107">
        <f>IF($E$36=5,($E$23*$E$24/365)*$C73*$E$36*$F73*Simulation!$G$10,(($E$23*$E$24/365)*$M73*Simulation!$G$10)+($E$23*$E$24/365)*$N73*$F73*Simulation!$G$10)</f>
        <v>0</v>
      </c>
    </row>
    <row r="74" spans="1:18" s="25" customFormat="1" ht="15" x14ac:dyDescent="0.25">
      <c r="A74" s="60">
        <v>44256</v>
      </c>
      <c r="B74" s="61">
        <v>44256</v>
      </c>
      <c r="C74" s="62">
        <f>MAX(0,MIN(EOMONTH(B74,0),Simulation!$G$12)-MAX(B74,Simulation!$G$11)+1)</f>
        <v>0</v>
      </c>
      <c r="D74" s="182"/>
      <c r="E74" s="195"/>
      <c r="F74" s="62">
        <f>Parameters!B23</f>
        <v>1.885</v>
      </c>
      <c r="G74" s="63">
        <f t="shared" si="3"/>
        <v>31</v>
      </c>
      <c r="H74" s="186"/>
      <c r="I74" s="64">
        <f>IF(Simulation!$G$12&gt;=$B$111,IF(AND(YEAR(Simulation!$G$11)=YEAR(A74),MONTH(A74)=MONTH(Simulation!$G$11)),1,0),0)</f>
        <v>0</v>
      </c>
      <c r="J74" s="65">
        <f t="shared" si="6"/>
        <v>0</v>
      </c>
      <c r="K74" s="66" t="str">
        <f t="shared" si="4"/>
        <v>ok</v>
      </c>
      <c r="L74" s="66">
        <f>IF(J74=1,IF(J75=0,IF(DAY(Simulation!$G$11)=1,0,DAY(Simulation!$G$11)-1),0),0)</f>
        <v>0</v>
      </c>
      <c r="M74" s="63">
        <f>IF(AND(J73=1,J74=1,J75=0,DAY(Simulation!$G$11)=1),0,IF(J74=1,IF(L74&lt;&gt;0,L74,C74),0))</f>
        <v>0</v>
      </c>
      <c r="N74" s="67">
        <f t="shared" si="5"/>
        <v>0</v>
      </c>
      <c r="O74" s="68">
        <f>IF($E$36=5,(($B$28*$B$12)/365)*$C74*$E$36*$F74*Simulation!$G$10,((($B$28*$B$12)/365)*$M74*Simulation!$G$10)+(($B$28*$B$12)/365)*$N74*$F74*Simulation!$G$10)</f>
        <v>0</v>
      </c>
      <c r="P74" s="69">
        <f>IF($E$36=5,(($B$29*$B$13)/365)*$C74*$E$36*$F74*Simulation!$G$10,((($B$29*$B$13)/365)*$M74*Simulation!$G$10)+(($B$29*$B$13)/365)*$N74*$F74*Simulation!$G$10)</f>
        <v>0</v>
      </c>
      <c r="Q74" s="107">
        <f>IF($E$36=5,($E$22/365)*$C74*$E$36*$F74*Simulation!$G$10,(($E$22/365)*$M74*Simulation!$G$10)+($E$22/365)*$N74*$F74*Simulation!$G$10)</f>
        <v>0</v>
      </c>
      <c r="R74" s="107">
        <f>IF($E$36=5,($E$23*$E$24/365)*$C74*$E$36*$F74*Simulation!$G$10,(($E$23*$E$24/365)*$M74*Simulation!$G$10)+($E$23*$E$24/365)*$N74*$F74*Simulation!$G$10)</f>
        <v>0</v>
      </c>
    </row>
    <row r="75" spans="1:18" s="25" customFormat="1" ht="15" x14ac:dyDescent="0.25">
      <c r="A75" s="60">
        <v>44287</v>
      </c>
      <c r="B75" s="61">
        <v>44287</v>
      </c>
      <c r="C75" s="62">
        <f>MAX(0,MIN(EOMONTH(B75,0),Simulation!$G$12)-MAX(B75,Simulation!$G$11)+1)</f>
        <v>0</v>
      </c>
      <c r="D75" s="182"/>
      <c r="E75" s="195"/>
      <c r="F75" s="62">
        <f>Parameters!B24</f>
        <v>1.3774999999999999</v>
      </c>
      <c r="G75" s="63">
        <f t="shared" si="3"/>
        <v>30</v>
      </c>
      <c r="H75" s="186"/>
      <c r="I75" s="64">
        <f>IF(Simulation!$G$12&gt;=$B$111,IF(AND(YEAR(Simulation!$G$11)=YEAR(A75),MONTH(A75)=MONTH(Simulation!$G$11)),1,0),0)</f>
        <v>0</v>
      </c>
      <c r="J75" s="65">
        <f t="shared" si="6"/>
        <v>0</v>
      </c>
      <c r="K75" s="66" t="str">
        <f t="shared" si="4"/>
        <v>ok</v>
      </c>
      <c r="L75" s="66">
        <f>IF(J75=1,IF(J76=0,IF(DAY(Simulation!$G$11)=1,0,DAY(Simulation!$G$11)-1),0),0)</f>
        <v>0</v>
      </c>
      <c r="M75" s="63">
        <f>IF(AND(J74=1,J75=1,J76=0,DAY(Simulation!$G$11)=1),0,IF(J75=1,IF(L75&lt;&gt;0,L75,C75),0))</f>
        <v>0</v>
      </c>
      <c r="N75" s="67">
        <f t="shared" si="5"/>
        <v>0</v>
      </c>
      <c r="O75" s="68">
        <f>IF($E$36=5,(($B$28*$B$12)/365)*$C75*$E$36*$F75*Simulation!$G$10,((($B$28*$B$12)/365)*$M75*Simulation!$G$10)+(($B$28*$B$12)/365)*$N75*$F75*Simulation!$G$10)</f>
        <v>0</v>
      </c>
      <c r="P75" s="69">
        <f>IF($E$36=5,(($B$29*$B$13)/365)*$C75*$E$36*$F75*Simulation!$G$10,((($B$29*$B$13)/365)*$M75*Simulation!$G$10)+(($B$29*$B$13)/365)*$N75*$F75*Simulation!$G$10)</f>
        <v>0</v>
      </c>
      <c r="Q75" s="107">
        <f>IF($E$36=5,($E$22/365)*$C75*$E$36*$F75*Simulation!$G$10,(($E$22/365)*$M75*Simulation!$G$10)+($E$22/365)*$N75*$F75*Simulation!$G$10)</f>
        <v>0</v>
      </c>
      <c r="R75" s="107">
        <f>IF($E$36=5,($E$23*$E$24/365)*$C75*$E$36*$F75*Simulation!$G$10,(($E$23*$E$24/365)*$M75*Simulation!$G$10)+($E$23*$E$24/365)*$N75*$F75*Simulation!$G$10)</f>
        <v>0</v>
      </c>
    </row>
    <row r="76" spans="1:18" s="25" customFormat="1" ht="15" x14ac:dyDescent="0.25">
      <c r="A76" s="60">
        <v>44317</v>
      </c>
      <c r="B76" s="61">
        <v>44317</v>
      </c>
      <c r="C76" s="62">
        <f>MAX(0,MIN(EOMONTH(B76,0),Simulation!$G$12)-MAX(B76,Simulation!$G$11)+1)</f>
        <v>0</v>
      </c>
      <c r="D76" s="182"/>
      <c r="E76" s="195"/>
      <c r="F76" s="62">
        <f>Parameters!B25</f>
        <v>0.9425</v>
      </c>
      <c r="G76" s="63">
        <f t="shared" si="3"/>
        <v>31</v>
      </c>
      <c r="H76" s="186"/>
      <c r="I76" s="64">
        <f>IF(Simulation!$G$12&gt;=$B$111,IF(AND(YEAR(Simulation!$G$11)=YEAR(A76),MONTH(A76)=MONTH(Simulation!$G$11)),1,0),0)</f>
        <v>0</v>
      </c>
      <c r="J76" s="65">
        <f>IF($H$36=0,0,IF($H$36=1,SUM(I64:I76),IF($H$36=2,SUM(I52:I76),IF($H$36=3,SUM(I40:I76),IF($H$36=4,SUM(I30:I76),"more than 4 years")))))</f>
        <v>0</v>
      </c>
      <c r="K76" s="66" t="str">
        <f t="shared" si="4"/>
        <v>ok</v>
      </c>
      <c r="L76" s="66">
        <f>IF(J76=1,IF(J77=0,IF(DAY(Simulation!$G$11)=1,0,DAY(Simulation!$G$11)-1),0),0)</f>
        <v>0</v>
      </c>
      <c r="M76" s="63">
        <f>IF(AND(J75=1,J76=1,J77=0,DAY(Simulation!$G$11)=1),0,IF(J76=1,IF(L76&lt;&gt;0,L76,C76),0))</f>
        <v>0</v>
      </c>
      <c r="N76" s="67">
        <f t="shared" si="5"/>
        <v>0</v>
      </c>
      <c r="O76" s="68">
        <f>IF($E$36=5,(($B$28*$B$12)/365)*$C76*$E$36*$F76*Simulation!$G$10,((($B$28*$B$12)/365)*$M76*Simulation!$G$10)+(($B$28*$B$12)/365)*$N76*$F76*Simulation!$G$10)</f>
        <v>0</v>
      </c>
      <c r="P76" s="69">
        <f>IF($E$36=5,(($B$29*$B$13)/365)*$C76*$E$36*$F76*Simulation!$G$10,((($B$29*$B$13)/365)*$M76*Simulation!$G$10)+(($B$29*$B$13)/365)*$N76*$F76*Simulation!$G$10)</f>
        <v>0</v>
      </c>
      <c r="Q76" s="107">
        <f>IF($E$36=5,($E$22/365)*$C76*$E$36*$F76*Simulation!$G$10,(($E$22/365)*$M76*Simulation!$G$10)+($E$22/365)*$N76*$F76*Simulation!$G$10)</f>
        <v>0</v>
      </c>
      <c r="R76" s="107">
        <f>IF($E$36=5,($E$23*$E$24/365)*$C76*$E$36*$F76*Simulation!$G$10,(($E$23*$E$24/365)*$M76*Simulation!$G$10)+($E$23*$E$24/365)*$N76*$F76*Simulation!$G$10)</f>
        <v>0</v>
      </c>
    </row>
    <row r="77" spans="1:18" s="25" customFormat="1" ht="15" x14ac:dyDescent="0.25">
      <c r="A77" s="60">
        <v>44348</v>
      </c>
      <c r="B77" s="61">
        <v>44348</v>
      </c>
      <c r="C77" s="62">
        <f>MAX(0,MIN(EOMONTH(B77,0),Simulation!$G$12)-MAX(B77,Simulation!$G$11)+1)</f>
        <v>0</v>
      </c>
      <c r="D77" s="182"/>
      <c r="E77" s="195"/>
      <c r="F77" s="62">
        <f>Parameters!B26</f>
        <v>0.72499999999999998</v>
      </c>
      <c r="G77" s="63">
        <f t="shared" si="3"/>
        <v>30</v>
      </c>
      <c r="H77" s="186"/>
      <c r="I77" s="64">
        <f>IF(Simulation!$G$12&gt;=$B$111,IF(AND(YEAR(Simulation!$G$11)=YEAR(A77),MONTH(A77)=MONTH(Simulation!$G$11)),1,0),0)</f>
        <v>0</v>
      </c>
      <c r="J77" s="65">
        <f>IF($H$36=0,0,IF($H$36=1,SUM(I65:I77),IF($H$36=2,SUM(I53:I77),IF($H$36=3,SUM(I41:I77),IF($H$36=4,SUM(I30:I77),"more than 4 years")))))</f>
        <v>0</v>
      </c>
      <c r="K77" s="66" t="str">
        <f t="shared" si="4"/>
        <v>ok</v>
      </c>
      <c r="L77" s="66">
        <f>IF(J77=1,IF(J78=0,IF(DAY(Simulation!$G$11)=1,0,DAY(Simulation!$G$11)-1),0),0)</f>
        <v>0</v>
      </c>
      <c r="M77" s="63">
        <f>IF(AND(J76=1,J77=1,J78=0,DAY(Simulation!$G$11)=1),0,IF(J77=1,IF(L77&lt;&gt;0,L77,C77),0))</f>
        <v>0</v>
      </c>
      <c r="N77" s="67">
        <f t="shared" si="5"/>
        <v>0</v>
      </c>
      <c r="O77" s="68">
        <f>IF($E$36=5,(($B$28*$B$12)/365)*$C77*$E$36*$F77*Simulation!$G$10,((($B$28*$B$12)/365)*$M77*Simulation!$G$10)+(($B$28*$B$12)/365)*$N77*$F77*Simulation!$G$10)</f>
        <v>0</v>
      </c>
      <c r="P77" s="69">
        <f>IF($E$36=5,(($B$29*$B$13)/365)*$C77*$E$36*$F77*Simulation!$G$10,((($B$29*$B$13)/365)*$M77*Simulation!$G$10)+(($B$29*$B$13)/365)*$N77*$F77*Simulation!$G$10)</f>
        <v>0</v>
      </c>
      <c r="Q77" s="107">
        <f>IF($E$36=5,($E$22/365)*$C77*$E$36*$F77*Simulation!$G$10,(($E$22/365)*$M77*Simulation!$G$10)+($E$22/365)*$N77*$F77*Simulation!$G$10)</f>
        <v>0</v>
      </c>
      <c r="R77" s="107">
        <f>IF($E$36=5,($E$23*$E$24/365)*$C77*$E$36*$F77*Simulation!$G$10,(($E$23*$E$24/365)*$M77*Simulation!$G$10)+($E$23*$E$24/365)*$N77*$F77*Simulation!$G$10)</f>
        <v>0</v>
      </c>
    </row>
    <row r="78" spans="1:18" s="25" customFormat="1" ht="15" x14ac:dyDescent="0.25">
      <c r="A78" s="60">
        <v>44378</v>
      </c>
      <c r="B78" s="61">
        <v>44378</v>
      </c>
      <c r="C78" s="62">
        <f>MAX(0,MIN(EOMONTH(B78,0),Simulation!$G$12)-MAX(B78,Simulation!$G$11)+1)</f>
        <v>0</v>
      </c>
      <c r="D78" s="182"/>
      <c r="E78" s="195"/>
      <c r="F78" s="62">
        <f>Parameters!B27</f>
        <v>0.72499999999999998</v>
      </c>
      <c r="G78" s="63">
        <f t="shared" si="3"/>
        <v>31</v>
      </c>
      <c r="H78" s="186"/>
      <c r="I78" s="64">
        <f>IF(Simulation!$G$12&gt;=$B$111,IF(AND(YEAR(Simulation!$G$11)=YEAR(A78),MONTH(A78)=MONTH(Simulation!$G$11)),1,0),0)</f>
        <v>0</v>
      </c>
      <c r="J78" s="65">
        <f t="shared" ref="J78:J107" si="7">IF($H$36=0,0,IF($H$36=1,SUM(I66:I78),IF($H$36=2,SUM(I54:I78),IF($H$36=3,SUM(I42:I78),IF($H$36=4,SUM(I30:I78),"more than 4 years")))))</f>
        <v>0</v>
      </c>
      <c r="K78" s="66" t="str">
        <f t="shared" si="4"/>
        <v>ok</v>
      </c>
      <c r="L78" s="66">
        <f>IF(J78=1,IF(J79=0,IF(DAY(Simulation!$G$11)=1,0,DAY(Simulation!$G$11)-1),0),0)</f>
        <v>0</v>
      </c>
      <c r="M78" s="63">
        <f>IF(AND(J77=1,J78=1,J79=0,DAY(Simulation!$G$11)=1),0,IF(J78=1,IF(L78&lt;&gt;0,L78,C78),0))</f>
        <v>0</v>
      </c>
      <c r="N78" s="67">
        <f t="shared" si="5"/>
        <v>0</v>
      </c>
      <c r="O78" s="68">
        <f>IF($E$36=5,(($B$28*$B$12)/365)*$C78*$E$36*$F78*Simulation!$G$10,((($B$28*$B$12)/365)*$M78*Simulation!$G$10)+(($B$28*$B$12)/365)*$N78*$F78*Simulation!$G$10)</f>
        <v>0</v>
      </c>
      <c r="P78" s="69">
        <f>IF($E$36=5,(($B$29*$B$13)/365)*$C78*$E$36*$F78*Simulation!$G$10,((($B$29*$B$13)/365)*$M78*Simulation!$G$10)+(($B$29*$B$13)/365)*$N78*$F78*Simulation!$G$10)</f>
        <v>0</v>
      </c>
      <c r="Q78" s="107">
        <f>IF($E$36=5,($E$22/365)*$C78*$E$36*$F78*Simulation!$G$10,(($E$22/365)*$M78*Simulation!$G$10)+($E$22/365)*$N78*$F78*Simulation!$G$10)</f>
        <v>0</v>
      </c>
      <c r="R78" s="107">
        <f>IF($E$36=5,($E$23*$E$24/365)*$C78*$E$36*$F78*Simulation!$G$10,(($E$23*$E$24/365)*$M78*Simulation!$G$10)+($E$23*$E$24/365)*$N78*$F78*Simulation!$G$10)</f>
        <v>0</v>
      </c>
    </row>
    <row r="79" spans="1:18" s="25" customFormat="1" ht="15" x14ac:dyDescent="0.25">
      <c r="A79" s="60">
        <v>44409</v>
      </c>
      <c r="B79" s="61">
        <v>44409</v>
      </c>
      <c r="C79" s="62">
        <f>MAX(0,MIN(EOMONTH(B79,0),Simulation!$G$12)-MAX(B79,Simulation!$G$11)+1)</f>
        <v>0</v>
      </c>
      <c r="D79" s="182"/>
      <c r="E79" s="195"/>
      <c r="F79" s="62">
        <f>Parameters!B28</f>
        <v>0.72499999999999998</v>
      </c>
      <c r="G79" s="63">
        <f t="shared" si="3"/>
        <v>31</v>
      </c>
      <c r="H79" s="186"/>
      <c r="I79" s="64">
        <f>IF(Simulation!$G$12&gt;=$B$111,IF(AND(YEAR(Simulation!$G$11)=YEAR(A79),MONTH(A79)=MONTH(Simulation!$G$11)),1,0),0)</f>
        <v>0</v>
      </c>
      <c r="J79" s="65">
        <f t="shared" si="7"/>
        <v>0</v>
      </c>
      <c r="K79" s="66" t="str">
        <f t="shared" si="4"/>
        <v>ok</v>
      </c>
      <c r="L79" s="66">
        <f>IF(J79=1,IF(J80=0,IF(DAY(Simulation!$G$11)=1,0,DAY(Simulation!$G$11)-1),0),0)</f>
        <v>0</v>
      </c>
      <c r="M79" s="63">
        <f>IF(AND(J78=1,J79=1,J80=0,DAY(Simulation!$G$11)=1),0,IF(J79=1,IF(L79&lt;&gt;0,L79,C79),0))</f>
        <v>0</v>
      </c>
      <c r="N79" s="67">
        <f t="shared" si="5"/>
        <v>0</v>
      </c>
      <c r="O79" s="68">
        <f>IF($E$36=5,(($B$28*$B$12)/365)*$C79*$E$36*$F79*Simulation!$G$10,((($B$28*$B$12)/365)*$M79*Simulation!$G$10)+(($B$28*$B$12)/365)*$N79*$F79*Simulation!$G$10)</f>
        <v>0</v>
      </c>
      <c r="P79" s="69">
        <f>IF($E$36=5,(($B$29*$B$13)/365)*$C79*$E$36*$F79*Simulation!$G$10,((($B$29*$B$13)/365)*$M79*Simulation!$G$10)+(($B$29*$B$13)/365)*$N79*$F79*Simulation!$G$10)</f>
        <v>0</v>
      </c>
      <c r="Q79" s="107">
        <f>IF($E$36=5,($E$22/365)*$C79*$E$36*$F79*Simulation!$G$10,(($E$22/365)*$M79*Simulation!$G$10)+($E$22/365)*$N79*$F79*Simulation!$G$10)</f>
        <v>0</v>
      </c>
      <c r="R79" s="107">
        <f>IF($E$36=5,($E$23*$E$24/365)*$C79*$E$36*$F79*Simulation!$G$10,(($E$23*$E$24/365)*$M79*Simulation!$G$10)+($E$23*$E$24/365)*$N79*$F79*Simulation!$G$10)</f>
        <v>0</v>
      </c>
    </row>
    <row r="80" spans="1:18" s="25" customFormat="1" ht="15" x14ac:dyDescent="0.25">
      <c r="A80" s="60">
        <v>44440</v>
      </c>
      <c r="B80" s="61">
        <v>44440</v>
      </c>
      <c r="C80" s="62">
        <f>MAX(0,MIN(EOMONTH(B80,0),Simulation!$G$12)-MAX(B80,Simulation!$G$11)+1)</f>
        <v>0</v>
      </c>
      <c r="D80" s="182"/>
      <c r="E80" s="195"/>
      <c r="F80" s="62">
        <f>Parameters!B29</f>
        <v>0.9425</v>
      </c>
      <c r="G80" s="63">
        <f t="shared" si="3"/>
        <v>30</v>
      </c>
      <c r="H80" s="186"/>
      <c r="I80" s="64">
        <f>IF(Simulation!$G$12&gt;=$B$111,IF(AND(YEAR(Simulation!$G$11)=YEAR(A80),MONTH(A80)=MONTH(Simulation!$G$11)),1,0),0)</f>
        <v>0</v>
      </c>
      <c r="J80" s="65">
        <f t="shared" si="7"/>
        <v>0</v>
      </c>
      <c r="K80" s="66" t="str">
        <f t="shared" si="4"/>
        <v>ok</v>
      </c>
      <c r="L80" s="66">
        <f>IF(J80=1,IF(J81=0,IF(DAY(Simulation!$G$11)=1,0,DAY(Simulation!$G$11)-1),0),0)</f>
        <v>0</v>
      </c>
      <c r="M80" s="63">
        <f>IF(AND(J79=1,J80=1,J81=0,DAY(Simulation!$G$11)=1),0,IF(J80=1,IF(L80&lt;&gt;0,L80,C80),0))</f>
        <v>0</v>
      </c>
      <c r="N80" s="67">
        <f t="shared" si="5"/>
        <v>0</v>
      </c>
      <c r="O80" s="68">
        <f>IF($E$36=5,(($B$28*$B$12)/365)*$C80*$E$36*$F80*Simulation!$G$10,((($B$28*$B$12)/365)*$M80*Simulation!$G$10)+(($B$28*$B$12)/365)*$N80*$F80*Simulation!$G$10)</f>
        <v>0</v>
      </c>
      <c r="P80" s="69">
        <f>IF($E$36=5,(($B$29*$B$13)/365)*$C80*$E$36*$F80*Simulation!$G$10,((($B$29*$B$13)/365)*$M80*Simulation!$G$10)+(($B$29*$B$13)/365)*$N80*$F80*Simulation!$G$10)</f>
        <v>0</v>
      </c>
      <c r="Q80" s="107">
        <f>IF($E$36=5,($E$22/365)*$C80*$E$36*$F80*Simulation!$G$10,(($E$22/365)*$M80*Simulation!$G$10)+($E$22/365)*$N80*$F80*Simulation!$G$10)</f>
        <v>0</v>
      </c>
      <c r="R80" s="107">
        <f>IF($E$36=5,($E$23*$E$24/365)*$C80*$E$36*$F80*Simulation!$G$10,(($E$23*$E$24/365)*$M80*Simulation!$G$10)+($E$23*$E$24/365)*$N80*$F80*Simulation!$G$10)</f>
        <v>0</v>
      </c>
    </row>
    <row r="81" spans="1:18" s="25" customFormat="1" ht="15" x14ac:dyDescent="0.25">
      <c r="A81" s="60">
        <v>44470</v>
      </c>
      <c r="B81" s="61">
        <v>44470</v>
      </c>
      <c r="C81" s="62">
        <f>MAX(0,MIN(EOMONTH(B81,0),Simulation!$G$12)-MAX(B81,Simulation!$G$11)+1)</f>
        <v>0</v>
      </c>
      <c r="D81" s="182"/>
      <c r="E81" s="195"/>
      <c r="F81" s="62">
        <f>Parameters!B30</f>
        <v>1.5225</v>
      </c>
      <c r="G81" s="63">
        <f t="shared" si="3"/>
        <v>31</v>
      </c>
      <c r="H81" s="186"/>
      <c r="I81" s="64">
        <f>IF(Simulation!$G$12&gt;=$B$111,IF(AND(YEAR(Simulation!$G$11)=YEAR(A81),MONTH(A81)=MONTH(Simulation!$G$11)),1,0),0)</f>
        <v>0</v>
      </c>
      <c r="J81" s="65">
        <f t="shared" si="7"/>
        <v>0</v>
      </c>
      <c r="K81" s="66" t="str">
        <f t="shared" si="4"/>
        <v>ok</v>
      </c>
      <c r="L81" s="66">
        <f>IF(J81=1,IF(J82=0,IF(DAY(Simulation!$G$11)=1,0,DAY(Simulation!$G$11)-1),0),0)</f>
        <v>0</v>
      </c>
      <c r="M81" s="63">
        <f>IF(AND(J80=1,J81=1,J82=0,DAY(Simulation!$G$11)=1),0,IF(J81=1,IF(L81&lt;&gt;0,L81,C81),0))</f>
        <v>0</v>
      </c>
      <c r="N81" s="67">
        <f t="shared" si="5"/>
        <v>0</v>
      </c>
      <c r="O81" s="68">
        <f>IF($E$36=5,(($B$28*$B$12)/365)*$C81*$E$36*$F81*Simulation!$G$10,((($B$28*$B$12)/365)*$M81*Simulation!$G$10)+(($B$28*$B$12)/365)*$N81*$F81*Simulation!$G$10)</f>
        <v>0</v>
      </c>
      <c r="P81" s="69">
        <f>IF($E$36=5,(($B$29*$B$13)/365)*$C81*$E$36*$F81*Simulation!$G$10,((($B$29*$B$13)/365)*$M81*Simulation!$G$10)+(($B$29*$B$13)/365)*$N81*$F81*Simulation!$G$10)</f>
        <v>0</v>
      </c>
      <c r="Q81" s="107">
        <f>IF($E$36=5,($E$22/365)*$C81*$E$36*$F81*Simulation!$G$10,(($E$22/365)*$M81*Simulation!$G$10)+($E$22/365)*$N81*$F81*Simulation!$G$10)</f>
        <v>0</v>
      </c>
      <c r="R81" s="107">
        <f>IF($E$36=5,($E$23*$E$24/365)*$C81*$E$36*$F81*Simulation!$G$10,(($E$23*$E$24/365)*$M81*Simulation!$G$10)+($E$23*$E$24/365)*$N81*$F81*Simulation!$G$10)</f>
        <v>0</v>
      </c>
    </row>
    <row r="82" spans="1:18" s="25" customFormat="1" ht="15" x14ac:dyDescent="0.25">
      <c r="A82" s="60">
        <v>44501</v>
      </c>
      <c r="B82" s="61">
        <v>44501</v>
      </c>
      <c r="C82" s="62">
        <f>MAX(0,MIN(EOMONTH(B82,0),Simulation!$G$12)-MAX(B82,Simulation!$G$11)+1)</f>
        <v>0</v>
      </c>
      <c r="D82" s="182"/>
      <c r="E82" s="195"/>
      <c r="F82" s="62">
        <f>Parameters!B31</f>
        <v>2.0299999999999998</v>
      </c>
      <c r="G82" s="63">
        <f t="shared" si="3"/>
        <v>30</v>
      </c>
      <c r="H82" s="186"/>
      <c r="I82" s="64">
        <f>IF(Simulation!$G$12&gt;=$B$111,IF(AND(YEAR(Simulation!$G$11)=YEAR(A82),MONTH(A82)=MONTH(Simulation!$G$11)),1,0),0)</f>
        <v>0</v>
      </c>
      <c r="J82" s="65">
        <f t="shared" si="7"/>
        <v>0</v>
      </c>
      <c r="K82" s="66" t="str">
        <f t="shared" si="4"/>
        <v>ok</v>
      </c>
      <c r="L82" s="66">
        <f>IF(J82=1,IF(J83=0,IF(DAY(Simulation!$G$11)=1,0,DAY(Simulation!$G$11)-1),0),0)</f>
        <v>0</v>
      </c>
      <c r="M82" s="63">
        <f>IF(AND(J81=1,J82=1,J83=0,DAY(Simulation!$G$11)=1),0,IF(J82=1,IF(L82&lt;&gt;0,L82,C82),0))</f>
        <v>0</v>
      </c>
      <c r="N82" s="67">
        <f t="shared" si="5"/>
        <v>0</v>
      </c>
      <c r="O82" s="68">
        <f>IF($E$36=5,(($B$28*$B$12)/365)*$C82*$E$36*$F82*Simulation!$G$10,((($B$28*$B$12)/365)*$M82*Simulation!$G$10)+(($B$28*$B$12)/365)*$N82*$F82*Simulation!$G$10)</f>
        <v>0</v>
      </c>
      <c r="P82" s="69">
        <f>IF($E$36=5,(($B$29*$B$13)/365)*$C82*$E$36*$F82*Simulation!$G$10,((($B$29*$B$13)/365)*$M82*Simulation!$G$10)+(($B$29*$B$13)/365)*$N82*$F82*Simulation!$G$10)</f>
        <v>0</v>
      </c>
      <c r="Q82" s="107">
        <f>IF($E$36=5,($E$22/365)*$C82*$E$36*$F82*Simulation!$G$10,(($E$22/365)*$M82*Simulation!$G$10)+($E$22/365)*$N82*$F82*Simulation!$G$10)</f>
        <v>0</v>
      </c>
      <c r="R82" s="107">
        <f>IF($E$36=5,($E$23*$E$24/365)*$C82*$E$36*$F82*Simulation!$G$10,(($E$23*$E$24/365)*$M82*Simulation!$G$10)+($E$23*$E$24/365)*$N82*$F82*Simulation!$G$10)</f>
        <v>0</v>
      </c>
    </row>
    <row r="83" spans="1:18" s="25" customFormat="1" ht="15" x14ac:dyDescent="0.25">
      <c r="A83" s="60">
        <v>44531</v>
      </c>
      <c r="B83" s="61">
        <v>44531</v>
      </c>
      <c r="C83" s="62">
        <f>MAX(0,MIN(EOMONTH(B83,0),Simulation!$G$12)-MAX(B83,Simulation!$G$11)+1)</f>
        <v>0</v>
      </c>
      <c r="D83" s="182"/>
      <c r="E83" s="195"/>
      <c r="F83" s="62">
        <f>Parameters!B32</f>
        <v>2.3199999999999998</v>
      </c>
      <c r="G83" s="63">
        <f t="shared" si="3"/>
        <v>31</v>
      </c>
      <c r="H83" s="186"/>
      <c r="I83" s="64">
        <f>IF(Simulation!$G$12&gt;=$B$111,IF(AND(YEAR(Simulation!$G$11)=YEAR(A83),MONTH(A83)=MONTH(Simulation!$G$11)),1,0),0)</f>
        <v>0</v>
      </c>
      <c r="J83" s="65">
        <f t="shared" si="7"/>
        <v>0</v>
      </c>
      <c r="K83" s="66" t="str">
        <f t="shared" si="4"/>
        <v>ok</v>
      </c>
      <c r="L83" s="66">
        <f>IF(J83=1,IF(J84=0,IF(DAY(Simulation!$G$11)=1,0,DAY(Simulation!$G$11)-1),0),0)</f>
        <v>0</v>
      </c>
      <c r="M83" s="63">
        <f>IF(AND(J82=1,J83=1,J84=0,DAY(Simulation!$G$11)=1),0,IF(J83=1,IF(L83&lt;&gt;0,L83,C83),0))</f>
        <v>0</v>
      </c>
      <c r="N83" s="67">
        <f t="shared" si="5"/>
        <v>0</v>
      </c>
      <c r="O83" s="68">
        <f>IF($E$36=5,(($B$28*$B$12)/365)*$C83*$E$36*$F83*Simulation!$G$10,((($B$28*$B$12)/365)*$M83*Simulation!$G$10)+(($B$28*$B$12)/365)*$N83*$F83*Simulation!$G$10)</f>
        <v>0</v>
      </c>
      <c r="P83" s="69">
        <f>IF($E$36=5,(($B$29*$B$13)/365)*$C83*$E$36*$F83*Simulation!$G$10,((($B$29*$B$13)/365)*$M83*Simulation!$G$10)+(($B$29*$B$13)/365)*$N83*$F83*Simulation!$G$10)</f>
        <v>0</v>
      </c>
      <c r="Q83" s="107">
        <f>IF($E$36=5,($E$22/365)*$C83*$E$36*$F83*Simulation!$G$10,(($E$22/365)*$M83*Simulation!$G$10)+($E$22/365)*$N83*$F83*Simulation!$G$10)</f>
        <v>0</v>
      </c>
      <c r="R83" s="107">
        <f>IF($E$36=5,($E$23*$E$24/365)*$C83*$E$36*$F83*Simulation!$G$10,(($E$23*$E$24/365)*$M83*Simulation!$G$10)+($E$23*$E$24/365)*$N83*$F83*Simulation!$G$10)</f>
        <v>0</v>
      </c>
    </row>
    <row r="84" spans="1:18" s="25" customFormat="1" ht="15" x14ac:dyDescent="0.25">
      <c r="A84" s="60">
        <v>44562</v>
      </c>
      <c r="B84" s="61">
        <v>44562</v>
      </c>
      <c r="C84" s="62">
        <f>MAX(0,MIN(EOMONTH(B84,0),Simulation!$G$12)-MAX(B84,Simulation!$G$11)+1)</f>
        <v>0</v>
      </c>
      <c r="D84" s="182"/>
      <c r="E84" s="195"/>
      <c r="F84" s="62">
        <f>Parameters!B21</f>
        <v>2.5375000000000001</v>
      </c>
      <c r="G84" s="63">
        <f t="shared" si="3"/>
        <v>31</v>
      </c>
      <c r="H84" s="186"/>
      <c r="I84" s="64">
        <f>IF(Simulation!$G$12&gt;=$B$111,IF(AND(YEAR(Simulation!$G$11)=YEAR(A84),MONTH(A84)=MONTH(Simulation!$G$11)),1,0),0)</f>
        <v>0</v>
      </c>
      <c r="J84" s="65">
        <f t="shared" si="7"/>
        <v>0</v>
      </c>
      <c r="K84" s="66" t="str">
        <f t="shared" si="4"/>
        <v>ok</v>
      </c>
      <c r="L84" s="66">
        <f>IF(J84=1,IF(J85=0,IF(DAY(Simulation!$G$11)=1,0,DAY(Simulation!$G$11)-1),0),0)</f>
        <v>0</v>
      </c>
      <c r="M84" s="63">
        <f>IF(AND(J83=1,J84=1,J85=0,DAY(Simulation!$G$11)=1),0,IF(J84=1,IF(L84&lt;&gt;0,L84,C84),0))</f>
        <v>0</v>
      </c>
      <c r="N84" s="67">
        <f t="shared" si="5"/>
        <v>0</v>
      </c>
      <c r="O84" s="68">
        <f>IF($E$36=5,(($B$28*$B$12)/365)*$C84*$E$36*$F84*Simulation!$G$10,((($B$28*$B$12)/365)*$M84*Simulation!$G$10)+(($B$28*$B$12)/365)*$N84*$F84*Simulation!$G$10)</f>
        <v>0</v>
      </c>
      <c r="P84" s="69">
        <f>IF($E$36=5,(($B$29*$B$13)/365)*$C84*$E$36*$F84*Simulation!$G$10,((($B$29*$B$13)/365)*$M84*Simulation!$G$10)+(($B$29*$B$13)/365)*$N84*$F84*Simulation!$G$10)</f>
        <v>0</v>
      </c>
      <c r="Q84" s="107">
        <f>IF($E$36=5,($E$22/365)*$C84*$E$36*$F84*Simulation!$G$10,(($E$22/365)*$M84*Simulation!$G$10)+($E$22/365)*$N84*$F84*Simulation!$G$10)</f>
        <v>0</v>
      </c>
      <c r="R84" s="107">
        <f>IF($E$36=5,($E$23*$E$24/365)*$C84*$E$36*$F84*Simulation!$G$10,(($E$23*$E$24/365)*$M84*Simulation!$G$10)+($E$23*$E$24/365)*$N84*$F84*Simulation!$G$10)</f>
        <v>0</v>
      </c>
    </row>
    <row r="85" spans="1:18" s="25" customFormat="1" ht="15" x14ac:dyDescent="0.25">
      <c r="A85" s="60">
        <v>44593</v>
      </c>
      <c r="B85" s="61">
        <v>44593</v>
      </c>
      <c r="C85" s="62">
        <f>MAX(0,MIN(EOMONTH(B85,0),Simulation!$G$12)-MAX(B85,Simulation!$G$11)+1)</f>
        <v>0</v>
      </c>
      <c r="D85" s="182"/>
      <c r="E85" s="195"/>
      <c r="F85" s="62">
        <f>Parameters!B22</f>
        <v>2.2475000000000001</v>
      </c>
      <c r="G85" s="63">
        <f t="shared" si="3"/>
        <v>28</v>
      </c>
      <c r="H85" s="186"/>
      <c r="I85" s="64">
        <f>IF(Simulation!$G$12&gt;=$B$111,IF(AND(YEAR(Simulation!$G$11)=YEAR(A85),MONTH(A85)=MONTH(Simulation!$G$11)),1,0),0)</f>
        <v>0</v>
      </c>
      <c r="J85" s="65">
        <f t="shared" si="7"/>
        <v>0</v>
      </c>
      <c r="K85" s="66" t="str">
        <f t="shared" si="4"/>
        <v>ok</v>
      </c>
      <c r="L85" s="66">
        <f>IF(J85=1,IF(J86=0,IF(DAY(Simulation!$G$11)=1,0,DAY(Simulation!$G$11)-1),0),0)</f>
        <v>0</v>
      </c>
      <c r="M85" s="63">
        <f>IF(AND(J84=1,J85=1,J86=0,DAY(Simulation!$G$11)=1),0,IF(J85=1,IF(L85&lt;&gt;0,L85,C85),0))</f>
        <v>0</v>
      </c>
      <c r="N85" s="67">
        <f t="shared" si="5"/>
        <v>0</v>
      </c>
      <c r="O85" s="68">
        <f>IF($E$36=5,(($B$28*$B$12)/365)*$C85*$E$36*$F85*Simulation!$G$10,((($B$28*$B$12)/365)*$M85*Simulation!$G$10)+(($B$28*$B$12)/365)*$N85*$F85*Simulation!$G$10)</f>
        <v>0</v>
      </c>
      <c r="P85" s="69">
        <f>IF($E$36=5,(($B$29*$B$13)/365)*$C85*$E$36*$F85*Simulation!$G$10,((($B$29*$B$13)/365)*$M85*Simulation!$G$10)+(($B$29*$B$13)/365)*$N85*$F85*Simulation!$G$10)</f>
        <v>0</v>
      </c>
      <c r="Q85" s="107">
        <f>IF($E$36=5,($E$22/365)*$C85*$E$36*$F85*Simulation!$G$10,(($E$22/365)*$M85*Simulation!$G$10)+($E$22/365)*$N85*$F85*Simulation!$G$10)</f>
        <v>0</v>
      </c>
      <c r="R85" s="107">
        <f>IF($E$36=5,($E$23*$E$24/365)*$C85*$E$36*$F85*Simulation!$G$10,(($E$23*$E$24/365)*$M85*Simulation!$G$10)+($E$23*$E$24/365)*$N85*$F85*Simulation!$G$10)</f>
        <v>0</v>
      </c>
    </row>
    <row r="86" spans="1:18" s="25" customFormat="1" ht="15" x14ac:dyDescent="0.25">
      <c r="A86" s="60">
        <v>44621</v>
      </c>
      <c r="B86" s="61">
        <v>44621</v>
      </c>
      <c r="C86" s="62">
        <f>MAX(0,MIN(EOMONTH(B86,0),Simulation!$G$12)-MAX(B86,Simulation!$G$11)+1)</f>
        <v>0</v>
      </c>
      <c r="D86" s="182"/>
      <c r="E86" s="195"/>
      <c r="F86" s="62">
        <f>Parameters!B23</f>
        <v>1.885</v>
      </c>
      <c r="G86" s="63">
        <f t="shared" si="3"/>
        <v>31</v>
      </c>
      <c r="H86" s="186"/>
      <c r="I86" s="64">
        <f>IF(Simulation!$G$12&gt;=$B$111,IF(AND(YEAR(Simulation!$G$11)=YEAR(A86),MONTH(A86)=MONTH(Simulation!$G$11)),1,0),0)</f>
        <v>0</v>
      </c>
      <c r="J86" s="65">
        <f t="shared" si="7"/>
        <v>0</v>
      </c>
      <c r="K86" s="66" t="str">
        <f t="shared" si="4"/>
        <v>ok</v>
      </c>
      <c r="L86" s="66">
        <f>IF(J86=1,IF(J87=0,IF(DAY(Simulation!$G$11)=1,0,DAY(Simulation!$G$11)-1),0),0)</f>
        <v>0</v>
      </c>
      <c r="M86" s="63">
        <f>IF(AND(J85=1,J86=1,J87=0,DAY(Simulation!$G$11)=1),0,IF(J86=1,IF(L86&lt;&gt;0,L86,C86),0))</f>
        <v>0</v>
      </c>
      <c r="N86" s="67">
        <f t="shared" si="5"/>
        <v>0</v>
      </c>
      <c r="O86" s="68">
        <f>IF($E$36=5,(($B$28*$B$12)/365)*$C86*$E$36*$F86*Simulation!$G$10,((($B$28*$B$12)/365)*$M86*Simulation!$G$10)+(($B$28*$B$12)/365)*$N86*$F86*Simulation!$G$10)</f>
        <v>0</v>
      </c>
      <c r="P86" s="69">
        <f>IF($E$36=5,(($B$29*$B$13)/365)*$C86*$E$36*$F86*Simulation!$G$10,((($B$29*$B$13)/365)*$M86*Simulation!$G$10)+(($B$29*$B$13)/365)*$N86*$F86*Simulation!$G$10)</f>
        <v>0</v>
      </c>
      <c r="Q86" s="107">
        <f>IF($E$36=5,($E$22/365)*$C86*$E$36*$F86*Simulation!$G$10,(($E$22/365)*$M86*Simulation!$G$10)+($E$22/365)*$N86*$F86*Simulation!$G$10)</f>
        <v>0</v>
      </c>
      <c r="R86" s="107">
        <f>IF($E$36=5,($E$23*$E$24/365)*$C86*$E$36*$F86*Simulation!$G$10,(($E$23*$E$24/365)*$M86*Simulation!$G$10)+($E$23*$E$24/365)*$N86*$F86*Simulation!$G$10)</f>
        <v>0</v>
      </c>
    </row>
    <row r="87" spans="1:18" s="25" customFormat="1" ht="15" x14ac:dyDescent="0.25">
      <c r="A87" s="60">
        <v>44652</v>
      </c>
      <c r="B87" s="61">
        <v>44652</v>
      </c>
      <c r="C87" s="62">
        <f>MAX(0,MIN(EOMONTH(B87,0),Simulation!$G$12)-MAX(B87,Simulation!$G$11)+1)</f>
        <v>0</v>
      </c>
      <c r="D87" s="182"/>
      <c r="E87" s="195"/>
      <c r="F87" s="62">
        <f>Parameters!B24</f>
        <v>1.3774999999999999</v>
      </c>
      <c r="G87" s="63">
        <f t="shared" si="3"/>
        <v>30</v>
      </c>
      <c r="H87" s="186"/>
      <c r="I87" s="64">
        <f>IF(Simulation!$G$12&gt;=$B$111,IF(AND(YEAR(Simulation!$G$11)=YEAR(A87),MONTH(A87)=MONTH(Simulation!$G$11)),1,0),0)</f>
        <v>0</v>
      </c>
      <c r="J87" s="65">
        <f t="shared" si="7"/>
        <v>0</v>
      </c>
      <c r="K87" s="66" t="str">
        <f t="shared" si="4"/>
        <v>ok</v>
      </c>
      <c r="L87" s="66">
        <f>IF(J87=1,IF(J88=0,IF(DAY(Simulation!$G$11)=1,0,DAY(Simulation!$G$11)-1),0),0)</f>
        <v>0</v>
      </c>
      <c r="M87" s="63">
        <f>IF(AND(J86=1,J87=1,J88=0,DAY(Simulation!$G$11)=1),0,IF(J87=1,IF(L87&lt;&gt;0,L87,C87),0))</f>
        <v>0</v>
      </c>
      <c r="N87" s="67">
        <f t="shared" si="5"/>
        <v>0</v>
      </c>
      <c r="O87" s="68">
        <f>IF($E$36=5,(($B$28*$B$12)/365)*$C87*$E$36*$F87*Simulation!$G$10,((($B$28*$B$12)/365)*$M87*Simulation!$G$10)+(($B$28*$B$12)/365)*$N87*$F87*Simulation!$G$10)</f>
        <v>0</v>
      </c>
      <c r="P87" s="69">
        <f>IF($E$36=5,(($B$29*$B$13)/365)*$C87*$E$36*$F87*Simulation!$G$10,((($B$29*$B$13)/365)*$M87*Simulation!$G$10)+(($B$29*$B$13)/365)*$N87*$F87*Simulation!$G$10)</f>
        <v>0</v>
      </c>
      <c r="Q87" s="107">
        <f>IF($E$36=5,($E$22/365)*$C87*$E$36*$F87*Simulation!$G$10,(($E$22/365)*$M87*Simulation!$G$10)+($E$22/365)*$N87*$F87*Simulation!$G$10)</f>
        <v>0</v>
      </c>
      <c r="R87" s="107">
        <f>IF($E$36=5,($E$23*$E$24/365)*$C87*$E$36*$F87*Simulation!$G$10,(($E$23*$E$24/365)*$M87*Simulation!$G$10)+($E$23*$E$24/365)*$N87*$F87*Simulation!$G$10)</f>
        <v>0</v>
      </c>
    </row>
    <row r="88" spans="1:18" s="25" customFormat="1" ht="15" x14ac:dyDescent="0.25">
      <c r="A88" s="60">
        <v>44682</v>
      </c>
      <c r="B88" s="61">
        <v>44682</v>
      </c>
      <c r="C88" s="62">
        <f>MAX(0,MIN(EOMONTH(B88,0),Simulation!$G$12)-MAX(B88,Simulation!$G$11)+1)</f>
        <v>0</v>
      </c>
      <c r="D88" s="182"/>
      <c r="E88" s="195"/>
      <c r="F88" s="62">
        <f>Parameters!B25</f>
        <v>0.9425</v>
      </c>
      <c r="G88" s="63">
        <f t="shared" si="3"/>
        <v>31</v>
      </c>
      <c r="H88" s="186"/>
      <c r="I88" s="64">
        <f>IF(Simulation!$G$12&gt;=$B$111,IF(AND(YEAR(Simulation!$G$11)=YEAR(A88),MONTH(A88)=MONTH(Simulation!$G$11)),1,0),0)</f>
        <v>0</v>
      </c>
      <c r="J88" s="65">
        <f t="shared" si="7"/>
        <v>0</v>
      </c>
      <c r="K88" s="66" t="str">
        <f t="shared" si="4"/>
        <v>ok</v>
      </c>
      <c r="L88" s="66">
        <f>IF(J88=1,IF(J89=0,IF(DAY(Simulation!$G$11)=1,0,DAY(Simulation!$G$11)-1),0),0)</f>
        <v>0</v>
      </c>
      <c r="M88" s="63">
        <f>IF(AND(J87=1,J88=1,J89=0,DAY(Simulation!$G$11)=1),0,IF(J88=1,IF(L88&lt;&gt;0,L88,C88),0))</f>
        <v>0</v>
      </c>
      <c r="N88" s="67">
        <f t="shared" si="5"/>
        <v>0</v>
      </c>
      <c r="O88" s="68">
        <f>IF($E$36=5,(($B$28*$B$12)/365)*$C88*$E$36*$F88*Simulation!$G$10,((($B$28*$B$12)/365)*$M88*Simulation!$G$10)+(($B$28*$B$12)/365)*$N88*$F88*Simulation!$G$10)</f>
        <v>0</v>
      </c>
      <c r="P88" s="69">
        <f>IF($E$36=5,(($B$29*$B$13)/365)*$C88*$E$36*$F88*Simulation!$G$10,((($B$29*$B$13)/365)*$M88*Simulation!$G$10)+(($B$29*$B$13)/365)*$N88*$F88*Simulation!$G$10)</f>
        <v>0</v>
      </c>
      <c r="Q88" s="107">
        <f>IF($E$36=5,($E$22/365)*$C88*$E$36*$F88*Simulation!$G$10,(($E$22/365)*$M88*Simulation!$G$10)+($E$22/365)*$N88*$F88*Simulation!$G$10)</f>
        <v>0</v>
      </c>
      <c r="R88" s="107">
        <f>IF($E$36=5,($E$23*$E$24/365)*$C88*$E$36*$F88*Simulation!$G$10,(($E$23*$E$24/365)*$M88*Simulation!$G$10)+($E$23*$E$24/365)*$N88*$F88*Simulation!$G$10)</f>
        <v>0</v>
      </c>
    </row>
    <row r="89" spans="1:18" s="25" customFormat="1" ht="15" x14ac:dyDescent="0.25">
      <c r="A89" s="60">
        <v>44713</v>
      </c>
      <c r="B89" s="61">
        <v>44713</v>
      </c>
      <c r="C89" s="62">
        <f>MAX(0,MIN(EOMONTH(B89,0),Simulation!$G$12)-MAX(B89,Simulation!$G$11)+1)</f>
        <v>0</v>
      </c>
      <c r="D89" s="182"/>
      <c r="E89" s="195"/>
      <c r="F89" s="62">
        <f>Parameters!B26</f>
        <v>0.72499999999999998</v>
      </c>
      <c r="G89" s="63">
        <f t="shared" si="3"/>
        <v>30</v>
      </c>
      <c r="H89" s="186"/>
      <c r="I89" s="64">
        <f>IF(Simulation!$G$12&gt;=$B$111,IF(AND(YEAR(Simulation!$G$11)=YEAR(A89),MONTH(A89)=MONTH(Simulation!$G$11)),1,0),0)</f>
        <v>0</v>
      </c>
      <c r="J89" s="65">
        <f t="shared" si="7"/>
        <v>0</v>
      </c>
      <c r="K89" s="66" t="str">
        <f t="shared" si="4"/>
        <v>ok</v>
      </c>
      <c r="L89" s="66">
        <f>IF(J89=1,IF(J90=0,IF(DAY(Simulation!$G$11)=1,0,DAY(Simulation!$G$11)-1),0),0)</f>
        <v>0</v>
      </c>
      <c r="M89" s="63">
        <f>IF(AND(J88=1,J89=1,J90=0,DAY(Simulation!$G$11)=1),0,IF(J89=1,IF(L89&lt;&gt;0,L89,C89),0))</f>
        <v>0</v>
      </c>
      <c r="N89" s="67">
        <f t="shared" si="5"/>
        <v>0</v>
      </c>
      <c r="O89" s="68">
        <f>IF($E$36=5,(($B$28*$B$12)/365)*$C89*$E$36*$F89*Simulation!$G$10,((($B$28*$B$12)/365)*$M89*Simulation!$G$10)+(($B$28*$B$12)/365)*$N89*$F89*Simulation!$G$10)</f>
        <v>0</v>
      </c>
      <c r="P89" s="69">
        <f>IF($E$36=5,(($B$29*$B$13)/365)*$C89*$E$36*$F89*Simulation!$G$10,((($B$29*$B$13)/365)*$M89*Simulation!$G$10)+(($B$29*$B$13)/365)*$N89*$F89*Simulation!$G$10)</f>
        <v>0</v>
      </c>
      <c r="Q89" s="107">
        <f>IF($E$36=5,($E$22/365)*$C89*$E$36*$F89*Simulation!$G$10,(($E$22/365)*$M89*Simulation!$G$10)+($E$22/365)*$N89*$F89*Simulation!$G$10)</f>
        <v>0</v>
      </c>
      <c r="R89" s="107">
        <f>IF($E$36=5,($E$23*$E$24/365)*$C89*$E$36*$F89*Simulation!$G$10,(($E$23*$E$24/365)*$M89*Simulation!$G$10)+($E$23*$E$24/365)*$N89*$F89*Simulation!$G$10)</f>
        <v>0</v>
      </c>
    </row>
    <row r="90" spans="1:18" s="25" customFormat="1" ht="15" x14ac:dyDescent="0.25">
      <c r="A90" s="60">
        <v>44743</v>
      </c>
      <c r="B90" s="61">
        <v>44743</v>
      </c>
      <c r="C90" s="62">
        <f>MAX(0,MIN(EOMONTH(B90,0),Simulation!$G$12)-MAX(B90,Simulation!$G$11)+1)</f>
        <v>0</v>
      </c>
      <c r="D90" s="182"/>
      <c r="E90" s="195"/>
      <c r="F90" s="62">
        <f>Parameters!B27</f>
        <v>0.72499999999999998</v>
      </c>
      <c r="G90" s="63">
        <f t="shared" si="3"/>
        <v>31</v>
      </c>
      <c r="H90" s="186"/>
      <c r="I90" s="64">
        <f>IF(Simulation!$G$12&gt;=$B$111,IF(AND(YEAR(Simulation!$G$11)=YEAR(A90),MONTH(A90)=MONTH(Simulation!$G$11)),1,0),0)</f>
        <v>0</v>
      </c>
      <c r="J90" s="65">
        <f t="shared" si="7"/>
        <v>0</v>
      </c>
      <c r="K90" s="66" t="str">
        <f t="shared" si="4"/>
        <v>ok</v>
      </c>
      <c r="L90" s="66">
        <f>IF(J90=1,IF(J91=0,IF(DAY(Simulation!$G$11)=1,0,DAY(Simulation!$G$11)-1),0),0)</f>
        <v>0</v>
      </c>
      <c r="M90" s="63">
        <f>IF(AND(J89=1,J90=1,J91=0,DAY(Simulation!$G$11)=1),0,IF(J90=1,IF(L90&lt;&gt;0,L90,C90),0))</f>
        <v>0</v>
      </c>
      <c r="N90" s="67">
        <f t="shared" si="5"/>
        <v>0</v>
      </c>
      <c r="O90" s="68">
        <f>IF($E$36=5,(($B$28*$B$12)/365)*$C90*$E$36*$F90*Simulation!$G$10,((($B$28*$B$12)/365)*$M90*Simulation!$G$10)+(($B$28*$B$12)/365)*$N90*$F90*Simulation!$G$10)</f>
        <v>0</v>
      </c>
      <c r="P90" s="69">
        <f>IF($E$36=5,(($B$29*$B$13)/365)*$C90*$E$36*$F90*Simulation!$G$10,((($B$29*$B$13)/365)*$M90*Simulation!$G$10)+(($B$29*$B$13)/365)*$N90*$F90*Simulation!$G$10)</f>
        <v>0</v>
      </c>
      <c r="Q90" s="107">
        <f>IF($E$36=5,($E$22/365)*$C90*$E$36*$F90*Simulation!$G$10,(($E$22/365)*$M90*Simulation!$G$10)+($E$22/365)*$N90*$F90*Simulation!$G$10)</f>
        <v>0</v>
      </c>
      <c r="R90" s="107">
        <f>IF($E$36=5,($E$23*$E$24/365)*$C90*$E$36*$F90*Simulation!$G$10,(($E$23*$E$24/365)*$M90*Simulation!$G$10)+($E$23*$E$24/365)*$N90*$F90*Simulation!$G$10)</f>
        <v>0</v>
      </c>
    </row>
    <row r="91" spans="1:18" s="25" customFormat="1" ht="15" x14ac:dyDescent="0.25">
      <c r="A91" s="60">
        <v>44774</v>
      </c>
      <c r="B91" s="61">
        <v>44774</v>
      </c>
      <c r="C91" s="62">
        <f>MAX(0,MIN(EOMONTH(B91,0),Simulation!$G$12)-MAX(B91,Simulation!$G$11)+1)</f>
        <v>0</v>
      </c>
      <c r="D91" s="182"/>
      <c r="E91" s="195"/>
      <c r="F91" s="62">
        <f>Parameters!B28</f>
        <v>0.72499999999999998</v>
      </c>
      <c r="G91" s="63">
        <f t="shared" si="3"/>
        <v>31</v>
      </c>
      <c r="H91" s="186"/>
      <c r="I91" s="64">
        <f>IF(Simulation!$G$12&gt;=$B$111,IF(AND(YEAR(Simulation!$G$11)=YEAR(A91),MONTH(A91)=MONTH(Simulation!$G$11)),1,0),0)</f>
        <v>0</v>
      </c>
      <c r="J91" s="65">
        <f t="shared" si="7"/>
        <v>0</v>
      </c>
      <c r="K91" s="66" t="str">
        <f t="shared" si="4"/>
        <v>ok</v>
      </c>
      <c r="L91" s="66">
        <f>IF(J91=1,IF(J92=0,IF(DAY(Simulation!$G$11)=1,0,DAY(Simulation!$G$11)-1),0),0)</f>
        <v>0</v>
      </c>
      <c r="M91" s="63">
        <f>IF(AND(J90=1,J91=1,J92=0,DAY(Simulation!$G$11)=1),0,IF(J91=1,IF(L91&lt;&gt;0,L91,C91),0))</f>
        <v>0</v>
      </c>
      <c r="N91" s="67">
        <f t="shared" si="5"/>
        <v>0</v>
      </c>
      <c r="O91" s="68">
        <f>IF($E$36=5,(($B$28*$B$12)/365)*$C91*$E$36*$F91*Simulation!$G$10,((($B$28*$B$12)/365)*$M91*Simulation!$G$10)+(($B$28*$B$12)/365)*$N91*$F91*Simulation!$G$10)</f>
        <v>0</v>
      </c>
      <c r="P91" s="69">
        <f>IF($E$36=5,(($B$29*$B$13)/365)*$C91*$E$36*$F91*Simulation!$G$10,((($B$29*$B$13)/365)*$M91*Simulation!$G$10)+(($B$29*$B$13)/365)*$N91*$F91*Simulation!$G$10)</f>
        <v>0</v>
      </c>
      <c r="Q91" s="107">
        <f>IF($E$36=5,($E$22/365)*$C91*$E$36*$F91*Simulation!$G$10,(($E$22/365)*$M91*Simulation!$G$10)+($E$22/365)*$N91*$F91*Simulation!$G$10)</f>
        <v>0</v>
      </c>
      <c r="R91" s="107">
        <f>IF($E$36=5,($E$23*$E$24/365)*$C91*$E$36*$F91*Simulation!$G$10,(($E$23*$E$24/365)*$M91*Simulation!$G$10)+($E$23*$E$24/365)*$N91*$F91*Simulation!$G$10)</f>
        <v>0</v>
      </c>
    </row>
    <row r="92" spans="1:18" s="25" customFormat="1" ht="15" x14ac:dyDescent="0.25">
      <c r="A92" s="60">
        <v>44805</v>
      </c>
      <c r="B92" s="61">
        <v>44805</v>
      </c>
      <c r="C92" s="62">
        <f>MAX(0,MIN(EOMONTH(B92,0),Simulation!$G$12)-MAX(B92,Simulation!$G$11)+1)</f>
        <v>0</v>
      </c>
      <c r="D92" s="182"/>
      <c r="E92" s="195"/>
      <c r="F92" s="62">
        <f>Parameters!B29</f>
        <v>0.9425</v>
      </c>
      <c r="G92" s="63">
        <f t="shared" si="3"/>
        <v>30</v>
      </c>
      <c r="H92" s="186"/>
      <c r="I92" s="64">
        <f>IF(Simulation!$G$12&gt;=$B$111,IF(AND(YEAR(Simulation!$G$11)=YEAR(A92),MONTH(A92)=MONTH(Simulation!$G$11)),1,0),0)</f>
        <v>0</v>
      </c>
      <c r="J92" s="65">
        <f t="shared" si="7"/>
        <v>0</v>
      </c>
      <c r="K92" s="66" t="str">
        <f t="shared" si="4"/>
        <v>ok</v>
      </c>
      <c r="L92" s="66">
        <f>IF(J92=1,IF(J93=0,IF(DAY(Simulation!$G$11)=1,0,DAY(Simulation!$G$11)-1),0),0)</f>
        <v>0</v>
      </c>
      <c r="M92" s="63">
        <f>IF(AND(J91=1,J92=1,J93=0,DAY(Simulation!$G$11)=1),0,IF(J92=1,IF(L92&lt;&gt;0,L92,C92),0))</f>
        <v>0</v>
      </c>
      <c r="N92" s="67">
        <f t="shared" si="5"/>
        <v>0</v>
      </c>
      <c r="O92" s="68">
        <f>IF($E$36=5,(($B$28*$B$12)/365)*$C92*$E$36*$F92*Simulation!$G$10,((($B$28*$B$12)/365)*$M92*Simulation!$G$10)+(($B$28*$B$12)/365)*$N92*$F92*Simulation!$G$10)</f>
        <v>0</v>
      </c>
      <c r="P92" s="69">
        <f>IF($E$36=5,(($B$29*$B$13)/365)*$C92*$E$36*$F92*Simulation!$G$10,((($B$29*$B$13)/365)*$M92*Simulation!$G$10)+(($B$29*$B$13)/365)*$N92*$F92*Simulation!$G$10)</f>
        <v>0</v>
      </c>
      <c r="Q92" s="107">
        <f>IF($E$36=5,($E$22/365)*$C92*$E$36*$F92*Simulation!$G$10,(($E$22/365)*$M92*Simulation!$G$10)+($E$22/365)*$N92*$F92*Simulation!$G$10)</f>
        <v>0</v>
      </c>
      <c r="R92" s="107">
        <f>IF($E$36=5,($E$23*$E$24/365)*$C92*$E$36*$F92*Simulation!$G$10,(($E$23*$E$24/365)*$M92*Simulation!$G$10)+($E$23*$E$24/365)*$N92*$F92*Simulation!$G$10)</f>
        <v>0</v>
      </c>
    </row>
    <row r="93" spans="1:18" s="25" customFormat="1" ht="15" x14ac:dyDescent="0.25">
      <c r="A93" s="60">
        <v>44835</v>
      </c>
      <c r="B93" s="61">
        <v>44835</v>
      </c>
      <c r="C93" s="62">
        <f>MAX(0,MIN(EOMONTH(B93,0),Simulation!$G$12)-MAX(B93,Simulation!$G$11)+1)</f>
        <v>0</v>
      </c>
      <c r="D93" s="182"/>
      <c r="E93" s="195"/>
      <c r="F93" s="62">
        <f>Parameters!B30</f>
        <v>1.5225</v>
      </c>
      <c r="G93" s="63">
        <f t="shared" si="3"/>
        <v>31</v>
      </c>
      <c r="H93" s="186"/>
      <c r="I93" s="64">
        <f>IF(Simulation!$G$12&gt;=$B$111,IF(AND(YEAR(Simulation!$G$11)=YEAR(A93),MONTH(A93)=MONTH(Simulation!$G$11)),1,0),0)</f>
        <v>0</v>
      </c>
      <c r="J93" s="65">
        <f t="shared" si="7"/>
        <v>0</v>
      </c>
      <c r="K93" s="66" t="str">
        <f t="shared" si="4"/>
        <v>ok</v>
      </c>
      <c r="L93" s="66">
        <f>IF(J93=1,IF(J94=0,IF(DAY(Simulation!$G$11)=1,0,DAY(Simulation!$G$11)-1),0),0)</f>
        <v>0</v>
      </c>
      <c r="M93" s="63">
        <f>IF(AND(J92=1,J93=1,J94=0,DAY(Simulation!$G$11)=1),0,IF(J93=1,IF(L93&lt;&gt;0,L93,C93),0))</f>
        <v>0</v>
      </c>
      <c r="N93" s="67">
        <f t="shared" si="5"/>
        <v>0</v>
      </c>
      <c r="O93" s="68">
        <f>IF($E$36=5,(($B$28*$B$12)/365)*$C93*$E$36*$F93*Simulation!$G$10,((($B$28*$B$12)/365)*$M93*Simulation!$G$10)+(($B$28*$B$12)/365)*$N93*$F93*Simulation!$G$10)</f>
        <v>0</v>
      </c>
      <c r="P93" s="69">
        <f>IF($E$36=5,(($B$29*$B$13)/365)*$C93*$E$36*$F93*Simulation!$G$10,((($B$29*$B$13)/365)*$M93*Simulation!$G$10)+(($B$29*$B$13)/365)*$N93*$F93*Simulation!$G$10)</f>
        <v>0</v>
      </c>
      <c r="Q93" s="107">
        <f>IF($E$36=5,($E$22/365)*$C93*$E$36*$F93*Simulation!$G$10,(($E$22/365)*$M93*Simulation!$G$10)+($E$22/365)*$N93*$F93*Simulation!$G$10)</f>
        <v>0</v>
      </c>
      <c r="R93" s="107">
        <f>IF($E$36=5,($E$23*$E$24/365)*$C93*$E$36*$F93*Simulation!$G$10,(($E$23*$E$24/365)*$M93*Simulation!$G$10)+($E$23*$E$24/365)*$N93*$F93*Simulation!$G$10)</f>
        <v>0</v>
      </c>
    </row>
    <row r="94" spans="1:18" s="25" customFormat="1" ht="15" x14ac:dyDescent="0.25">
      <c r="A94" s="60">
        <v>44866</v>
      </c>
      <c r="B94" s="61">
        <v>44866</v>
      </c>
      <c r="C94" s="62">
        <f>MAX(0,MIN(EOMONTH(B94,0),Simulation!$G$12)-MAX(B94,Simulation!$G$11)+1)</f>
        <v>0</v>
      </c>
      <c r="D94" s="182"/>
      <c r="E94" s="195"/>
      <c r="F94" s="62">
        <f>Parameters!B31</f>
        <v>2.0299999999999998</v>
      </c>
      <c r="G94" s="63">
        <f t="shared" si="3"/>
        <v>30</v>
      </c>
      <c r="H94" s="186"/>
      <c r="I94" s="64">
        <f>IF(Simulation!$G$12&gt;=$B$111,IF(AND(YEAR(Simulation!$G$11)=YEAR(A94),MONTH(A94)=MONTH(Simulation!$G$11)),1,0),0)</f>
        <v>0</v>
      </c>
      <c r="J94" s="65">
        <f t="shared" si="7"/>
        <v>0</v>
      </c>
      <c r="K94" s="66" t="str">
        <f t="shared" si="4"/>
        <v>ok</v>
      </c>
      <c r="L94" s="66">
        <f>IF(J94=1,IF(J95=0,IF(DAY(Simulation!$G$11)=1,0,DAY(Simulation!$G$11)-1),0),0)</f>
        <v>0</v>
      </c>
      <c r="M94" s="63">
        <f>IF(AND(J93=1,J94=1,J95=0,DAY(Simulation!$G$11)=1),0,IF(J94=1,IF(L94&lt;&gt;0,L94,C94),0))</f>
        <v>0</v>
      </c>
      <c r="N94" s="67">
        <f t="shared" si="5"/>
        <v>0</v>
      </c>
      <c r="O94" s="68">
        <f>IF($E$36=5,(($B$28*$B$12)/365)*$C94*$E$36*$F94*Simulation!$G$10,((($B$28*$B$12)/365)*$M94*Simulation!$G$10)+(($B$28*$B$12)/365)*$N94*$F94*Simulation!$G$10)</f>
        <v>0</v>
      </c>
      <c r="P94" s="69">
        <f>IF($E$36=5,(($B$29*$B$13)/365)*$C94*$E$36*$F94*Simulation!$G$10,((($B$29*$B$13)/365)*$M94*Simulation!$G$10)+(($B$29*$B$13)/365)*$N94*$F94*Simulation!$G$10)</f>
        <v>0</v>
      </c>
      <c r="Q94" s="107">
        <f>IF($E$36=5,($E$22/365)*$C94*$E$36*$F94*Simulation!$G$10,(($E$22/365)*$M94*Simulation!$G$10)+($E$22/365)*$N94*$F94*Simulation!$G$10)</f>
        <v>0</v>
      </c>
      <c r="R94" s="107">
        <f>IF($E$36=5,($E$23*$E$24/365)*$C94*$E$36*$F94*Simulation!$G$10,(($E$23*$E$24/365)*$M94*Simulation!$G$10)+($E$23*$E$24/365)*$N94*$F94*Simulation!$G$10)</f>
        <v>0</v>
      </c>
    </row>
    <row r="95" spans="1:18" s="25" customFormat="1" ht="15" x14ac:dyDescent="0.25">
      <c r="A95" s="60">
        <v>44896</v>
      </c>
      <c r="B95" s="61">
        <v>44896</v>
      </c>
      <c r="C95" s="62">
        <f>MAX(0,MIN(EOMONTH(B95,0),Simulation!$G$12)-MAX(B95,Simulation!$G$11)+1)</f>
        <v>0</v>
      </c>
      <c r="D95" s="182"/>
      <c r="E95" s="195"/>
      <c r="F95" s="62">
        <f>Parameters!B32</f>
        <v>2.3199999999999998</v>
      </c>
      <c r="G95" s="63">
        <f t="shared" si="3"/>
        <v>31</v>
      </c>
      <c r="H95" s="186"/>
      <c r="I95" s="64">
        <f>IF(Simulation!$G$12&gt;=$B$111,IF(AND(YEAR(Simulation!$G$11)=YEAR(A95),MONTH(A95)=MONTH(Simulation!$G$11)),1,0),0)</f>
        <v>0</v>
      </c>
      <c r="J95" s="65">
        <f t="shared" si="7"/>
        <v>0</v>
      </c>
      <c r="K95" s="66" t="str">
        <f t="shared" si="4"/>
        <v>ok</v>
      </c>
      <c r="L95" s="66">
        <f>IF(J95=1,IF(J96=0,IF(DAY(Simulation!$G$11)=1,0,DAY(Simulation!$G$11)-1),0),0)</f>
        <v>0</v>
      </c>
      <c r="M95" s="63">
        <f>IF(AND(J94=1,J95=1,J108=0,DAY(Simulation!$G$11)=1),0,IF(J95=1,IF(L95&lt;&gt;0,L95,C95),0))</f>
        <v>0</v>
      </c>
      <c r="N95" s="67">
        <f t="shared" si="5"/>
        <v>0</v>
      </c>
      <c r="O95" s="68">
        <f>IF($E$36=5,(($B$28*$B$12)/365)*$C95*$E$36*$F95*Simulation!$G$10,((($B$28*$B$12)/365)*$M95*Simulation!$G$10)+(($B$28*$B$12)/365)*$N95*$F95*Simulation!$G$10)</f>
        <v>0</v>
      </c>
      <c r="P95" s="69">
        <f>IF($E$36=5,(($B$29*$B$13)/365)*$C95*$E$36*$F95*Simulation!$G$10,((($B$29*$B$13)/365)*$M95*Simulation!$G$10)+(($B$29*$B$13)/365)*$N95*$F95*Simulation!$G$10)</f>
        <v>0</v>
      </c>
      <c r="Q95" s="107">
        <f>IF($E$36=5,($E$22/365)*$C95*$E$36*$F95*Simulation!$G$10,(($E$22/365)*$M95*Simulation!$G$10)+($E$22/365)*$N95*$F95*Simulation!$G$10)</f>
        <v>0</v>
      </c>
      <c r="R95" s="107">
        <f>IF($E$36=5,($E$23*$E$24/365)*$C95*$E$36*$F95*Simulation!$G$10,(($E$23*$E$24/365)*$M95*Simulation!$G$10)+($E$23*$E$24/365)*$N95*$F95*Simulation!$G$10)</f>
        <v>0</v>
      </c>
    </row>
    <row r="96" spans="1:18" s="156" customFormat="1" ht="15" x14ac:dyDescent="0.25">
      <c r="A96" s="146">
        <v>44927</v>
      </c>
      <c r="B96" s="147">
        <v>44927</v>
      </c>
      <c r="C96" s="143">
        <f>MAX(0,MIN(EOMONTH(B96,0),Simulation!$G$12)-MAX(B96,Simulation!$G$11)+1)</f>
        <v>0</v>
      </c>
      <c r="D96" s="182"/>
      <c r="E96" s="195"/>
      <c r="F96" s="143">
        <f>Parameters!B21</f>
        <v>2.5375000000000001</v>
      </c>
      <c r="G96" s="148">
        <f t="shared" si="3"/>
        <v>31</v>
      </c>
      <c r="H96" s="186"/>
      <c r="I96" s="149">
        <f>IF(Simulation!$G$12&gt;=$B$111,IF(AND(YEAR(Simulation!$G$11)=YEAR(A96),MONTH(A96)=MONTH(Simulation!$G$11)),1,0),0)</f>
        <v>0</v>
      </c>
      <c r="J96" s="150">
        <f t="shared" si="7"/>
        <v>0</v>
      </c>
      <c r="K96" s="151" t="str">
        <f t="shared" ref="K96:K107" si="8">IF((M96+N96)&lt;&gt;C96,"issue","ok")</f>
        <v>ok</v>
      </c>
      <c r="L96" s="151">
        <f>IF(J96=1,IF(J97=0,IF(DAY(Simulation!$G$11)=1,0,DAY(Simulation!$G$11)-1),0),0)</f>
        <v>0</v>
      </c>
      <c r="M96" s="148">
        <f>IF(AND(J95=1,J96=1,J109=0,DAY(Simulation!$G$11)=1),0,IF(J96=1,IF(L96&lt;&gt;0,L96,C96),0))</f>
        <v>0</v>
      </c>
      <c r="N96" s="152">
        <f t="shared" ref="N96:N107" si="9">MAX(0,C96-M96)</f>
        <v>0</v>
      </c>
      <c r="O96" s="153">
        <f>IF($E$36=5,(($B$28*$B$12)/365)*$C96*$E$36*$F96*Simulation!$G$10,((($B$28*$B$12)/365)*$M96*Simulation!$G$10)+(($B$28*$B$12)/365)*$N96*$F96*Simulation!$G$10)</f>
        <v>0</v>
      </c>
      <c r="P96" s="154">
        <f>IF($E$36=5,(($B$29*$B$13)/365)*$C96*$E$36*$F96*Simulation!$G$10,((($B$29*$B$13)/365)*$M96*Simulation!$G$10)+(($B$29*$B$13)/365)*$N96*$F96*Simulation!$G$10)</f>
        <v>0</v>
      </c>
      <c r="Q96" s="155">
        <f>IF($E$36=5,($E$22/365)*$C96*$E$36*$F96*Simulation!$G$10,(($E$22/365)*$M96*Simulation!$G$10)+($E$22/365)*$N96*$F96*Simulation!$G$10)</f>
        <v>0</v>
      </c>
      <c r="R96" s="155">
        <f>IF($E$36=5,($E$23*$E$24/365)*$C96*$E$36*$F96*Simulation!$G$10,(($E$23*$E$24/365)*$M96*Simulation!$G$10)+($E$23*$E$24/365)*$N96*$F96*Simulation!$G$10)</f>
        <v>0</v>
      </c>
    </row>
    <row r="97" spans="1:18" s="156" customFormat="1" ht="15" x14ac:dyDescent="0.25">
      <c r="A97" s="146">
        <v>44958</v>
      </c>
      <c r="B97" s="147">
        <v>44958</v>
      </c>
      <c r="C97" s="143">
        <f>MAX(0,MIN(EOMONTH(B97,0),Simulation!$G$12)-MAX(B97,Simulation!$G$11)+1)</f>
        <v>0</v>
      </c>
      <c r="D97" s="182"/>
      <c r="E97" s="195"/>
      <c r="F97" s="143">
        <f>Parameters!B22</f>
        <v>2.2475000000000001</v>
      </c>
      <c r="G97" s="148">
        <f t="shared" si="3"/>
        <v>28</v>
      </c>
      <c r="H97" s="186"/>
      <c r="I97" s="149">
        <f>IF(Simulation!$G$12&gt;=$B$111,IF(AND(YEAR(Simulation!$G$11)=YEAR(A97),MONTH(A97)=MONTH(Simulation!$G$11)),1,0),0)</f>
        <v>0</v>
      </c>
      <c r="J97" s="150">
        <f t="shared" si="7"/>
        <v>0</v>
      </c>
      <c r="K97" s="151" t="str">
        <f t="shared" si="8"/>
        <v>ok</v>
      </c>
      <c r="L97" s="151">
        <f>IF(J97=1,IF(J98=0,IF(DAY(Simulation!$G$11)=1,0,DAY(Simulation!$G$11)-1),0),0)</f>
        <v>0</v>
      </c>
      <c r="M97" s="148">
        <f>IF(AND(J96=1,J97=1,J110=0,DAY(Simulation!$G$11)=1),0,IF(J97=1,IF(L97&lt;&gt;0,L97,C97),0))</f>
        <v>0</v>
      </c>
      <c r="N97" s="152">
        <f t="shared" si="9"/>
        <v>0</v>
      </c>
      <c r="O97" s="153">
        <f>IF($E$36=5,(($B$28*$B$12)/365)*$C97*$E$36*$F97*Simulation!$G$10,((($B$28*$B$12)/365)*$M97*Simulation!$G$10)+(($B$28*$B$12)/365)*$N97*$F97*Simulation!$G$10)</f>
        <v>0</v>
      </c>
      <c r="P97" s="154">
        <f>IF($E$36=5,(($B$29*$B$13)/365)*$C97*$E$36*$F97*Simulation!$G$10,((($B$29*$B$13)/365)*$M97*Simulation!$G$10)+(($B$29*$B$13)/365)*$N97*$F97*Simulation!$G$10)</f>
        <v>0</v>
      </c>
      <c r="Q97" s="155">
        <f>IF($E$36=5,($E$22/365)*$C97*$E$36*$F97*Simulation!$G$10,(($E$22/365)*$M97*Simulation!$G$10)+($E$22/365)*$N97*$F97*Simulation!$G$10)</f>
        <v>0</v>
      </c>
      <c r="R97" s="155">
        <f>IF($E$36=5,($E$23*$E$24/365)*$C97*$E$36*$F97*Simulation!$G$10,(($E$23*$E$24/365)*$M97*Simulation!$G$10)+($E$23*$E$24/365)*$N97*$F97*Simulation!$G$10)</f>
        <v>0</v>
      </c>
    </row>
    <row r="98" spans="1:18" s="156" customFormat="1" ht="15" x14ac:dyDescent="0.25">
      <c r="A98" s="146">
        <v>44986</v>
      </c>
      <c r="B98" s="147">
        <v>44986</v>
      </c>
      <c r="C98" s="143">
        <f>MAX(0,MIN(EOMONTH(B98,0),Simulation!$G$12)-MAX(B98,Simulation!$G$11)+1)</f>
        <v>0</v>
      </c>
      <c r="D98" s="182"/>
      <c r="E98" s="195"/>
      <c r="F98" s="143">
        <f>Parameters!B23</f>
        <v>1.885</v>
      </c>
      <c r="G98" s="148">
        <f t="shared" si="3"/>
        <v>31</v>
      </c>
      <c r="H98" s="186"/>
      <c r="I98" s="149">
        <f>IF(Simulation!$G$12&gt;=$B$111,IF(AND(YEAR(Simulation!$G$11)=YEAR(A98),MONTH(A98)=MONTH(Simulation!$G$11)),1,0),0)</f>
        <v>0</v>
      </c>
      <c r="J98" s="150">
        <f t="shared" si="7"/>
        <v>0</v>
      </c>
      <c r="K98" s="151" t="str">
        <f t="shared" si="8"/>
        <v>ok</v>
      </c>
      <c r="L98" s="151">
        <f>IF(J98=1,IF(J99=0,IF(DAY(Simulation!$G$11)=1,0,DAY(Simulation!$G$11)-1),0),0)</f>
        <v>0</v>
      </c>
      <c r="M98" s="148">
        <f>IF(AND(J97=1,J98=1,J111=0,DAY(Simulation!$G$11)=1),0,IF(J98=1,IF(L98&lt;&gt;0,L98,C98),0))</f>
        <v>0</v>
      </c>
      <c r="N98" s="152">
        <f t="shared" si="9"/>
        <v>0</v>
      </c>
      <c r="O98" s="153">
        <f>IF($E$36=5,(($B$28*$B$12)/365)*$C98*$E$36*$F98*Simulation!$G$10,((($B$28*$B$12)/365)*$M98*Simulation!$G$10)+(($B$28*$B$12)/365)*$N98*$F98*Simulation!$G$10)</f>
        <v>0</v>
      </c>
      <c r="P98" s="154">
        <f>IF($E$36=5,(($B$29*$B$13)/365)*$C98*$E$36*$F98*Simulation!$G$10,((($B$29*$B$13)/365)*$M98*Simulation!$G$10)+(($B$29*$B$13)/365)*$N98*$F98*Simulation!$G$10)</f>
        <v>0</v>
      </c>
      <c r="Q98" s="155">
        <f>IF($E$36=5,($E$22/365)*$C98*$E$36*$F98*Simulation!$G$10,(($E$22/365)*$M98*Simulation!$G$10)+($E$22/365)*$N98*$F98*Simulation!$G$10)</f>
        <v>0</v>
      </c>
      <c r="R98" s="155">
        <f>IF($E$36=5,($E$23*$E$24/365)*$C98*$E$36*$F98*Simulation!$G$10,(($E$23*$E$24/365)*$M98*Simulation!$G$10)+($E$23*$E$24/365)*$N98*$F98*Simulation!$G$10)</f>
        <v>0</v>
      </c>
    </row>
    <row r="99" spans="1:18" s="156" customFormat="1" ht="15" x14ac:dyDescent="0.25">
      <c r="A99" s="146">
        <v>45017</v>
      </c>
      <c r="B99" s="147">
        <v>45017</v>
      </c>
      <c r="C99" s="143">
        <f>MAX(0,MIN(EOMONTH(B99,0),Simulation!$G$12)-MAX(B99,Simulation!$G$11)+1)</f>
        <v>0</v>
      </c>
      <c r="D99" s="182"/>
      <c r="E99" s="195"/>
      <c r="F99" s="143">
        <f>Parameters!B24</f>
        <v>1.3774999999999999</v>
      </c>
      <c r="G99" s="148">
        <f t="shared" si="3"/>
        <v>30</v>
      </c>
      <c r="H99" s="186"/>
      <c r="I99" s="149">
        <f>IF(Simulation!$G$12&gt;=$B$111,IF(AND(YEAR(Simulation!$G$11)=YEAR(A99),MONTH(A99)=MONTH(Simulation!$G$11)),1,0),0)</f>
        <v>0</v>
      </c>
      <c r="J99" s="150">
        <f t="shared" si="7"/>
        <v>0</v>
      </c>
      <c r="K99" s="151" t="str">
        <f t="shared" si="8"/>
        <v>ok</v>
      </c>
      <c r="L99" s="151">
        <f>IF(J99=1,IF(J100=0,IF(DAY(Simulation!$G$11)=1,0,DAY(Simulation!$G$11)-1),0),0)</f>
        <v>0</v>
      </c>
      <c r="M99" s="148">
        <f>IF(AND(J98=1,J99=1,J112=0,DAY(Simulation!$G$11)=1),0,IF(J99=1,IF(L99&lt;&gt;0,L99,C99),0))</f>
        <v>0</v>
      </c>
      <c r="N99" s="152">
        <f t="shared" si="9"/>
        <v>0</v>
      </c>
      <c r="O99" s="153">
        <f>IF($E$36=5,(($B$28*$B$12)/365)*$C99*$E$36*$F99*Simulation!$G$10,((($B$28*$B$12)/365)*$M99*Simulation!$G$10)+(($B$28*$B$12)/365)*$N99*$F99*Simulation!$G$10)</f>
        <v>0</v>
      </c>
      <c r="P99" s="154">
        <f>IF($E$36=5,(($B$29*$B$13)/365)*$C99*$E$36*$F99*Simulation!$G$10,((($B$29*$B$13)/365)*$M99*Simulation!$G$10)+(($B$29*$B$13)/365)*$N99*$F99*Simulation!$G$10)</f>
        <v>0</v>
      </c>
      <c r="Q99" s="155">
        <f>IF($E$36=5,($E$22/365)*$C99*$E$36*$F99*Simulation!$G$10,(($E$22/365)*$M99*Simulation!$G$10)+($E$22/365)*$N99*$F99*Simulation!$G$10)</f>
        <v>0</v>
      </c>
      <c r="R99" s="155">
        <f>IF($E$36=5,($E$23*$E$24/365)*$C99*$E$36*$F99*Simulation!$G$10,(($E$23*$E$24/365)*$M99*Simulation!$G$10)+($E$23*$E$24/365)*$N99*$F99*Simulation!$G$10)</f>
        <v>0</v>
      </c>
    </row>
    <row r="100" spans="1:18" s="156" customFormat="1" ht="15" x14ac:dyDescent="0.25">
      <c r="A100" s="146">
        <v>45047</v>
      </c>
      <c r="B100" s="147">
        <v>45047</v>
      </c>
      <c r="C100" s="143">
        <f>MAX(0,MIN(EOMONTH(B100,0),Simulation!$G$12)-MAX(B100,Simulation!$G$11)+1)</f>
        <v>0</v>
      </c>
      <c r="D100" s="182"/>
      <c r="E100" s="195"/>
      <c r="F100" s="143">
        <f>Parameters!B25</f>
        <v>0.9425</v>
      </c>
      <c r="G100" s="148">
        <f t="shared" si="3"/>
        <v>31</v>
      </c>
      <c r="H100" s="186"/>
      <c r="I100" s="149">
        <f>IF(Simulation!$G$12&gt;=$B$111,IF(AND(YEAR(Simulation!$G$11)=YEAR(A100),MONTH(A100)=MONTH(Simulation!$G$11)),1,0),0)</f>
        <v>0</v>
      </c>
      <c r="J100" s="150">
        <f t="shared" si="7"/>
        <v>0</v>
      </c>
      <c r="K100" s="151" t="str">
        <f t="shared" si="8"/>
        <v>ok</v>
      </c>
      <c r="L100" s="151">
        <f>IF(J100=1,IF(J101=0,IF(DAY(Simulation!$G$11)=1,0,DAY(Simulation!$G$11)-1),0),0)</f>
        <v>0</v>
      </c>
      <c r="M100" s="148">
        <f>IF(AND(J99=1,J100=1,J113=0,DAY(Simulation!$G$11)=1),0,IF(J100=1,IF(L100&lt;&gt;0,L100,C100),0))</f>
        <v>0</v>
      </c>
      <c r="N100" s="152">
        <f t="shared" si="9"/>
        <v>0</v>
      </c>
      <c r="O100" s="153">
        <f>IF($E$36=5,(($B$28*$B$12)/365)*$C100*$E$36*$F100*Simulation!$G$10,((($B$28*$B$12)/365)*$M100*Simulation!$G$10)+(($B$28*$B$12)/365)*$N100*$F100*Simulation!$G$10)</f>
        <v>0</v>
      </c>
      <c r="P100" s="154">
        <f>IF($E$36=5,(($B$29*$B$13)/365)*$C100*$E$36*$F100*Simulation!$G$10,((($B$29*$B$13)/365)*$M100*Simulation!$G$10)+(($B$29*$B$13)/365)*$N100*$F100*Simulation!$G$10)</f>
        <v>0</v>
      </c>
      <c r="Q100" s="155">
        <f>IF($E$36=5,($E$22/365)*$C100*$E$36*$F100*Simulation!$G$10,(($E$22/365)*$M100*Simulation!$G$10)+($E$22/365)*$N100*$F100*Simulation!$G$10)</f>
        <v>0</v>
      </c>
      <c r="R100" s="155">
        <f>IF($E$36=5,($E$23*$E$24/365)*$C100*$E$36*$F100*Simulation!$G$10,(($E$23*$E$24/365)*$M100*Simulation!$G$10)+($E$23*$E$24/365)*$N100*$F100*Simulation!$G$10)</f>
        <v>0</v>
      </c>
    </row>
    <row r="101" spans="1:18" s="156" customFormat="1" ht="15" x14ac:dyDescent="0.25">
      <c r="A101" s="146">
        <v>45078</v>
      </c>
      <c r="B101" s="147">
        <v>45078</v>
      </c>
      <c r="C101" s="143">
        <f>MAX(0,MIN(EOMONTH(B101,0),Simulation!$G$12)-MAX(B101,Simulation!$G$11)+1)</f>
        <v>0</v>
      </c>
      <c r="D101" s="182"/>
      <c r="E101" s="195"/>
      <c r="F101" s="143">
        <f>Parameters!B26</f>
        <v>0.72499999999999998</v>
      </c>
      <c r="G101" s="148">
        <f t="shared" si="3"/>
        <v>30</v>
      </c>
      <c r="H101" s="186"/>
      <c r="I101" s="149">
        <f>IF(Simulation!$G$12&gt;=$B$111,IF(AND(YEAR(Simulation!$G$11)=YEAR(A101),MONTH(A101)=MONTH(Simulation!$G$11)),1,0),0)</f>
        <v>0</v>
      </c>
      <c r="J101" s="150">
        <f t="shared" si="7"/>
        <v>0</v>
      </c>
      <c r="K101" s="151" t="str">
        <f t="shared" si="8"/>
        <v>ok</v>
      </c>
      <c r="L101" s="151">
        <f>IF(J101=1,IF(J102=0,IF(DAY(Simulation!$G$11)=1,0,DAY(Simulation!$G$11)-1),0),0)</f>
        <v>0</v>
      </c>
      <c r="M101" s="148">
        <f>IF(AND(J100=1,J101=1,J114=0,DAY(Simulation!$G$11)=1),0,IF(J101=1,IF(L101&lt;&gt;0,L101,C101),0))</f>
        <v>0</v>
      </c>
      <c r="N101" s="152">
        <f t="shared" si="9"/>
        <v>0</v>
      </c>
      <c r="O101" s="153">
        <f>IF($E$36=5,(($B$28*$B$12)/365)*$C101*$E$36*$F101*Simulation!$G$10,((($B$28*$B$12)/365)*$M101*Simulation!$G$10)+(($B$28*$B$12)/365)*$N101*$F101*Simulation!$G$10)</f>
        <v>0</v>
      </c>
      <c r="P101" s="154">
        <f>IF($E$36=5,(($B$29*$B$13)/365)*$C101*$E$36*$F101*Simulation!$G$10,((($B$29*$B$13)/365)*$M101*Simulation!$G$10)+(($B$29*$B$13)/365)*$N101*$F101*Simulation!$G$10)</f>
        <v>0</v>
      </c>
      <c r="Q101" s="155">
        <f>IF($E$36=5,($E$22/365)*$C101*$E$36*$F101*Simulation!$G$10,(($E$22/365)*$M101*Simulation!$G$10)+($E$22/365)*$N101*$F101*Simulation!$G$10)</f>
        <v>0</v>
      </c>
      <c r="R101" s="155">
        <f>IF($E$36=5,($E$23*$E$24/365)*$C101*$E$36*$F101*Simulation!$G$10,(($E$23*$E$24/365)*$M101*Simulation!$G$10)+($E$23*$E$24/365)*$N101*$F101*Simulation!$G$10)</f>
        <v>0</v>
      </c>
    </row>
    <row r="102" spans="1:18" s="156" customFormat="1" ht="15" x14ac:dyDescent="0.25">
      <c r="A102" s="146">
        <v>45108</v>
      </c>
      <c r="B102" s="147">
        <v>45108</v>
      </c>
      <c r="C102" s="143">
        <f>MAX(0,MIN(EOMONTH(B102,0),Simulation!$G$12)-MAX(B102,Simulation!$G$11)+1)</f>
        <v>0</v>
      </c>
      <c r="D102" s="182"/>
      <c r="E102" s="195"/>
      <c r="F102" s="143">
        <f>Parameters!B27</f>
        <v>0.72499999999999998</v>
      </c>
      <c r="G102" s="148">
        <f t="shared" si="3"/>
        <v>31</v>
      </c>
      <c r="H102" s="186"/>
      <c r="I102" s="149">
        <f>IF(Simulation!$G$12&gt;=$B$111,IF(AND(YEAR(Simulation!$G$11)=YEAR(A102),MONTH(A102)=MONTH(Simulation!$G$11)),1,0),0)</f>
        <v>0</v>
      </c>
      <c r="J102" s="150">
        <f t="shared" si="7"/>
        <v>0</v>
      </c>
      <c r="K102" s="151" t="str">
        <f t="shared" si="8"/>
        <v>ok</v>
      </c>
      <c r="L102" s="151">
        <f>IF(J102=1,IF(J103=0,IF(DAY(Simulation!$G$11)=1,0,DAY(Simulation!$G$11)-1),0),0)</f>
        <v>0</v>
      </c>
      <c r="M102" s="148">
        <f>IF(AND(J101=1,J102=1,J115=0,DAY(Simulation!$G$11)=1),0,IF(J102=1,IF(L102&lt;&gt;0,L102,C102),0))</f>
        <v>0</v>
      </c>
      <c r="N102" s="152">
        <f t="shared" si="9"/>
        <v>0</v>
      </c>
      <c r="O102" s="153">
        <f>IF($E$36=5,(($B$28*$B$12)/365)*$C102*$E$36*$F102*Simulation!$G$10,((($B$28*$B$12)/365)*$M102*Simulation!$G$10)+(($B$28*$B$12)/365)*$N102*$F102*Simulation!$G$10)</f>
        <v>0</v>
      </c>
      <c r="P102" s="154">
        <f>IF($E$36=5,(($B$29*$B$13)/365)*$C102*$E$36*$F102*Simulation!$G$10,((($B$29*$B$13)/365)*$M102*Simulation!$G$10)+(($B$29*$B$13)/365)*$N102*$F102*Simulation!$G$10)</f>
        <v>0</v>
      </c>
      <c r="Q102" s="155">
        <f>IF($E$36=5,($E$22/365)*$C102*$E$36*$F102*Simulation!$G$10,(($E$22/365)*$M102*Simulation!$G$10)+($E$22/365)*$N102*$F102*Simulation!$G$10)</f>
        <v>0</v>
      </c>
      <c r="R102" s="155">
        <f>IF($E$36=5,($E$23*$E$24/365)*$C102*$E$36*$F102*Simulation!$G$10,(($E$23*$E$24/365)*$M102*Simulation!$G$10)+($E$23*$E$24/365)*$N102*$F102*Simulation!$G$10)</f>
        <v>0</v>
      </c>
    </row>
    <row r="103" spans="1:18" s="156" customFormat="1" ht="15" x14ac:dyDescent="0.25">
      <c r="A103" s="146">
        <v>45139</v>
      </c>
      <c r="B103" s="147">
        <v>45139</v>
      </c>
      <c r="C103" s="143">
        <f>MAX(0,MIN(EOMONTH(B103,0),Simulation!$G$12)-MAX(B103,Simulation!$G$11)+1)</f>
        <v>0</v>
      </c>
      <c r="D103" s="182"/>
      <c r="E103" s="195"/>
      <c r="F103" s="143">
        <f>Parameters!B28</f>
        <v>0.72499999999999998</v>
      </c>
      <c r="G103" s="148">
        <f t="shared" si="3"/>
        <v>31</v>
      </c>
      <c r="H103" s="186"/>
      <c r="I103" s="149">
        <f>IF(Simulation!$G$12&gt;=$B$111,IF(AND(YEAR(Simulation!$G$11)=YEAR(A103),MONTH(A103)=MONTH(Simulation!$G$11)),1,0),0)</f>
        <v>0</v>
      </c>
      <c r="J103" s="150">
        <f t="shared" si="7"/>
        <v>0</v>
      </c>
      <c r="K103" s="151" t="str">
        <f t="shared" si="8"/>
        <v>ok</v>
      </c>
      <c r="L103" s="151">
        <f>IF(J103=1,IF(J104=0,IF(DAY(Simulation!$G$11)=1,0,DAY(Simulation!$G$11)-1),0),0)</f>
        <v>0</v>
      </c>
      <c r="M103" s="148">
        <f>IF(AND(J102=1,J103=1,J116=0,DAY(Simulation!$G$11)=1),0,IF(J103=1,IF(L103&lt;&gt;0,L103,C103),0))</f>
        <v>0</v>
      </c>
      <c r="N103" s="152">
        <f t="shared" si="9"/>
        <v>0</v>
      </c>
      <c r="O103" s="153">
        <f>IF($E$36=5,(($B$28*$B$12)/365)*$C103*$E$36*$F103*Simulation!$G$10,((($B$28*$B$12)/365)*$M103*Simulation!$G$10)+(($B$28*$B$12)/365)*$N103*$F103*Simulation!$G$10)</f>
        <v>0</v>
      </c>
      <c r="P103" s="154">
        <f>IF($E$36=5,(($B$29*$B$13)/365)*$C103*$E$36*$F103*Simulation!$G$10,((($B$29*$B$13)/365)*$M103*Simulation!$G$10)+(($B$29*$B$13)/365)*$N103*$F103*Simulation!$G$10)</f>
        <v>0</v>
      </c>
      <c r="Q103" s="155">
        <f>IF($E$36=5,($E$22/365)*$C103*$E$36*$F103*Simulation!$G$10,(($E$22/365)*$M103*Simulation!$G$10)+($E$22/365)*$N103*$F103*Simulation!$G$10)</f>
        <v>0</v>
      </c>
      <c r="R103" s="155">
        <f>IF($E$36=5,($E$23*$E$24/365)*$C103*$E$36*$F103*Simulation!$G$10,(($E$23*$E$24/365)*$M103*Simulation!$G$10)+($E$23*$E$24/365)*$N103*$F103*Simulation!$G$10)</f>
        <v>0</v>
      </c>
    </row>
    <row r="104" spans="1:18" s="156" customFormat="1" ht="15" x14ac:dyDescent="0.25">
      <c r="A104" s="146">
        <v>45170</v>
      </c>
      <c r="B104" s="147">
        <v>45170</v>
      </c>
      <c r="C104" s="143">
        <f>MAX(0,MIN(EOMONTH(B104,0),Simulation!$G$12)-MAX(B104,Simulation!$G$11)+1)</f>
        <v>0</v>
      </c>
      <c r="D104" s="182"/>
      <c r="E104" s="195"/>
      <c r="F104" s="143">
        <f>Parameters!B29</f>
        <v>0.9425</v>
      </c>
      <c r="G104" s="148">
        <f t="shared" si="3"/>
        <v>30</v>
      </c>
      <c r="H104" s="186"/>
      <c r="I104" s="149">
        <f>IF(Simulation!$G$12&gt;=$B$111,IF(AND(YEAR(Simulation!$G$11)=YEAR(A104),MONTH(A104)=MONTH(Simulation!$G$11)),1,0),0)</f>
        <v>0</v>
      </c>
      <c r="J104" s="150">
        <f t="shared" si="7"/>
        <v>0</v>
      </c>
      <c r="K104" s="151" t="str">
        <f t="shared" si="8"/>
        <v>ok</v>
      </c>
      <c r="L104" s="151">
        <f>IF(J104=1,IF(J105=0,IF(DAY(Simulation!$G$11)=1,0,DAY(Simulation!$G$11)-1),0),0)</f>
        <v>0</v>
      </c>
      <c r="M104" s="148">
        <f>IF(AND(J103=1,J104=1,J117=0,DAY(Simulation!$G$11)=1),0,IF(J104=1,IF(L104&lt;&gt;0,L104,C104),0))</f>
        <v>0</v>
      </c>
      <c r="N104" s="152">
        <f t="shared" si="9"/>
        <v>0</v>
      </c>
      <c r="O104" s="153">
        <f>IF($E$36=5,(($B$28*$B$12)/365)*$C104*$E$36*$F104*Simulation!$G$10,((($B$28*$B$12)/365)*$M104*Simulation!$G$10)+(($B$28*$B$12)/365)*$N104*$F104*Simulation!$G$10)</f>
        <v>0</v>
      </c>
      <c r="P104" s="154">
        <f>IF($E$36=5,(($B$29*$B$13)/365)*$C104*$E$36*$F104*Simulation!$G$10,((($B$29*$B$13)/365)*$M104*Simulation!$G$10)+(($B$29*$B$13)/365)*$N104*$F104*Simulation!$G$10)</f>
        <v>0</v>
      </c>
      <c r="Q104" s="155">
        <f>IF($E$36=5,($E$22/365)*$C104*$E$36*$F104*Simulation!$G$10,(($E$22/365)*$M104*Simulation!$G$10)+($E$22/365)*$N104*$F104*Simulation!$G$10)</f>
        <v>0</v>
      </c>
      <c r="R104" s="155">
        <f>IF($E$36=5,($E$23*$E$24/365)*$C104*$E$36*$F104*Simulation!$G$10,(($E$23*$E$24/365)*$M104*Simulation!$G$10)+($E$23*$E$24/365)*$N104*$F104*Simulation!$G$10)</f>
        <v>0</v>
      </c>
    </row>
    <row r="105" spans="1:18" s="156" customFormat="1" ht="15" x14ac:dyDescent="0.25">
      <c r="A105" s="146">
        <v>45200</v>
      </c>
      <c r="B105" s="147">
        <v>45200</v>
      </c>
      <c r="C105" s="143">
        <f>MAX(0,MIN(EOMONTH(B105,0),Simulation!$G$12)-MAX(B105,Simulation!$G$11)+1)</f>
        <v>0</v>
      </c>
      <c r="D105" s="182"/>
      <c r="E105" s="195"/>
      <c r="F105" s="143">
        <f>Parameters!B30</f>
        <v>1.5225</v>
      </c>
      <c r="G105" s="148">
        <f t="shared" si="3"/>
        <v>31</v>
      </c>
      <c r="H105" s="186"/>
      <c r="I105" s="149">
        <f>IF(Simulation!$G$12&gt;=$B$111,IF(AND(YEAR(Simulation!$G$11)=YEAR(A105),MONTH(A105)=MONTH(Simulation!$G$11)),1,0),0)</f>
        <v>0</v>
      </c>
      <c r="J105" s="150">
        <f t="shared" si="7"/>
        <v>0</v>
      </c>
      <c r="K105" s="151" t="str">
        <f t="shared" si="8"/>
        <v>ok</v>
      </c>
      <c r="L105" s="151">
        <f>IF(J105=1,IF(J106=0,IF(DAY(Simulation!$G$11)=1,0,DAY(Simulation!$G$11)-1),0),0)</f>
        <v>0</v>
      </c>
      <c r="M105" s="148">
        <f>IF(AND(J104=1,J105=1,J118=0,DAY(Simulation!$G$11)=1),0,IF(J105=1,IF(L105&lt;&gt;0,L105,C105),0))</f>
        <v>0</v>
      </c>
      <c r="N105" s="152">
        <f t="shared" si="9"/>
        <v>0</v>
      </c>
      <c r="O105" s="153">
        <f>IF($E$36=5,(($B$28*$B$12)/365)*$C105*$E$36*$F105*Simulation!$G$10,((($B$28*$B$12)/365)*$M105*Simulation!$G$10)+(($B$28*$B$12)/365)*$N105*$F105*Simulation!$G$10)</f>
        <v>0</v>
      </c>
      <c r="P105" s="154">
        <f>IF($E$36=5,(($B$29*$B$13)/365)*$C105*$E$36*$F105*Simulation!$G$10,((($B$29*$B$13)/365)*$M105*Simulation!$G$10)+(($B$29*$B$13)/365)*$N105*$F105*Simulation!$G$10)</f>
        <v>0</v>
      </c>
      <c r="Q105" s="155">
        <f>IF($E$36=5,($E$22/365)*$C105*$E$36*$F105*Simulation!$G$10,(($E$22/365)*$M105*Simulation!$G$10)+($E$22/365)*$N105*$F105*Simulation!$G$10)</f>
        <v>0</v>
      </c>
      <c r="R105" s="155">
        <f>IF($E$36=5,($E$23*$E$24/365)*$C105*$E$36*$F105*Simulation!$G$10,(($E$23*$E$24/365)*$M105*Simulation!$G$10)+($E$23*$E$24/365)*$N105*$F105*Simulation!$G$10)</f>
        <v>0</v>
      </c>
    </row>
    <row r="106" spans="1:18" s="156" customFormat="1" ht="15" x14ac:dyDescent="0.25">
      <c r="A106" s="146">
        <v>45231</v>
      </c>
      <c r="B106" s="147">
        <v>45231</v>
      </c>
      <c r="C106" s="143">
        <f>MAX(0,MIN(EOMONTH(B106,0),Simulation!$G$12)-MAX(B106,Simulation!$G$11)+1)</f>
        <v>0</v>
      </c>
      <c r="D106" s="182"/>
      <c r="E106" s="195"/>
      <c r="F106" s="143">
        <f>Parameters!B31</f>
        <v>2.0299999999999998</v>
      </c>
      <c r="G106" s="148">
        <f t="shared" si="3"/>
        <v>30</v>
      </c>
      <c r="H106" s="186"/>
      <c r="I106" s="149">
        <f>IF(Simulation!$G$12&gt;=$B$111,IF(AND(YEAR(Simulation!$G$11)=YEAR(A106),MONTH(A106)=MONTH(Simulation!$G$11)),1,0),0)</f>
        <v>0</v>
      </c>
      <c r="J106" s="150">
        <f t="shared" si="7"/>
        <v>0</v>
      </c>
      <c r="K106" s="151" t="str">
        <f t="shared" si="8"/>
        <v>ok</v>
      </c>
      <c r="L106" s="151">
        <f>IF(J106=1,IF(J107=0,IF(DAY(Simulation!$G$11)=1,0,DAY(Simulation!$G$11)-1),0),0)</f>
        <v>0</v>
      </c>
      <c r="M106" s="148">
        <f>IF(AND(J105=1,J106=1,J119=0,DAY(Simulation!$G$11)=1),0,IF(J106=1,IF(L106&lt;&gt;0,L106,C106),0))</f>
        <v>0</v>
      </c>
      <c r="N106" s="152">
        <f t="shared" si="9"/>
        <v>0</v>
      </c>
      <c r="O106" s="153">
        <f>IF($E$36=5,(($B$28*$B$12)/365)*$C106*$E$36*$F106*Simulation!$G$10,((($B$28*$B$12)/365)*$M106*Simulation!$G$10)+(($B$28*$B$12)/365)*$N106*$F106*Simulation!$G$10)</f>
        <v>0</v>
      </c>
      <c r="P106" s="154">
        <f>IF($E$36=5,(($B$29*$B$13)/365)*$C106*$E$36*$F106*Simulation!$G$10,((($B$29*$B$13)/365)*$M106*Simulation!$G$10)+(($B$29*$B$13)/365)*$N106*$F106*Simulation!$G$10)</f>
        <v>0</v>
      </c>
      <c r="Q106" s="155">
        <f>IF($E$36=5,($E$22/365)*$C106*$E$36*$F106*Simulation!$G$10,(($E$22/365)*$M106*Simulation!$G$10)+($E$22/365)*$N106*$F106*Simulation!$G$10)</f>
        <v>0</v>
      </c>
      <c r="R106" s="155">
        <f>IF($E$36=5,($E$23*$E$24/365)*$C106*$E$36*$F106*Simulation!$G$10,(($E$23*$E$24/365)*$M106*Simulation!$G$10)+($E$23*$E$24/365)*$N106*$F106*Simulation!$G$10)</f>
        <v>0</v>
      </c>
    </row>
    <row r="107" spans="1:18" s="156" customFormat="1" ht="15" x14ac:dyDescent="0.25">
      <c r="A107" s="146">
        <v>45261</v>
      </c>
      <c r="B107" s="147">
        <v>45261</v>
      </c>
      <c r="C107" s="143">
        <f>MAX(0,MIN(EOMONTH(B107,0),Simulation!$G$12)-MAX(B107,Simulation!$G$11)+1)</f>
        <v>0</v>
      </c>
      <c r="D107" s="182"/>
      <c r="E107" s="195"/>
      <c r="F107" s="143">
        <f>Parameters!B32</f>
        <v>2.3199999999999998</v>
      </c>
      <c r="G107" s="148">
        <f t="shared" si="3"/>
        <v>31</v>
      </c>
      <c r="H107" s="186"/>
      <c r="I107" s="149">
        <f>IF(Simulation!$G$12&gt;=$B$111,IF(AND(YEAR(Simulation!$G$11)=YEAR(A107),MONTH(A107)=MONTH(Simulation!$G$11)),1,0),0)</f>
        <v>0</v>
      </c>
      <c r="J107" s="150">
        <f t="shared" si="7"/>
        <v>0</v>
      </c>
      <c r="K107" s="151" t="str">
        <f t="shared" si="8"/>
        <v>ok</v>
      </c>
      <c r="L107" s="151">
        <f>IF(J107=1,IF(J108=0,IF(DAY(Simulation!$G$11)=1,0,DAY(Simulation!$G$11)-1),0),0)</f>
        <v>0</v>
      </c>
      <c r="M107" s="148">
        <f>IF(AND(J106=1,J107=1,J120=0,DAY(Simulation!$G$11)=1),0,IF(J107=1,IF(L107&lt;&gt;0,L107,C107),0))</f>
        <v>0</v>
      </c>
      <c r="N107" s="152">
        <f t="shared" si="9"/>
        <v>0</v>
      </c>
      <c r="O107" s="153">
        <f>IF($E$36=5,(($B$28*$B$12)/365)*$C107*$E$36*$F107*Simulation!$G$10,((($B$28*$B$12)/365)*$M107*Simulation!$G$10)+(($B$28*$B$12)/365)*$N107*$F107*Simulation!$G$10)</f>
        <v>0</v>
      </c>
      <c r="P107" s="154">
        <f>IF($E$36=5,(($B$29*$B$13)/365)*$C107*$E$36*$F107*Simulation!$G$10,((($B$29*$B$13)/365)*$M107*Simulation!$G$10)+(($B$29*$B$13)/365)*$N107*$F107*Simulation!$G$10)</f>
        <v>0</v>
      </c>
      <c r="Q107" s="155">
        <f>IF($E$36=5,($E$22/365)*$C107*$E$36*$F107*Simulation!$G$10,(($E$22/365)*$M107*Simulation!$G$10)+($E$22/365)*$N107*$F107*Simulation!$G$10)</f>
        <v>0</v>
      </c>
      <c r="R107" s="155">
        <f>IF($E$36=5,($E$23*$E$24/365)*$C107*$E$36*$F107*Simulation!$G$10,(($E$23*$E$24/365)*$M107*Simulation!$G$10)+($E$23*$E$24/365)*$N107*$F107*Simulation!$G$10)</f>
        <v>0</v>
      </c>
    </row>
    <row r="108" spans="1:18" s="25" customFormat="1" ht="15" x14ac:dyDescent="0.25">
      <c r="A108" s="70"/>
      <c r="B108" s="71"/>
      <c r="C108" s="72"/>
      <c r="D108" s="73"/>
      <c r="E108" s="74"/>
      <c r="F108" s="75"/>
      <c r="G108" s="76"/>
      <c r="H108" s="77"/>
      <c r="I108" s="58"/>
      <c r="J108" s="78"/>
      <c r="K108" s="79"/>
      <c r="L108" s="79"/>
      <c r="M108" s="76"/>
      <c r="N108" s="80"/>
      <c r="O108" s="81"/>
      <c r="P108" s="82"/>
    </row>
    <row r="109" spans="1:18" s="25" customFormat="1" ht="15" x14ac:dyDescent="0.25">
      <c r="A109" s="39" t="s">
        <v>939</v>
      </c>
      <c r="B109" s="32">
        <f>MONTH(Simulation!G11)</f>
        <v>1</v>
      </c>
      <c r="C109" s="26"/>
      <c r="D109" s="26"/>
      <c r="J109" s="83"/>
      <c r="K109" s="84"/>
      <c r="L109" s="84"/>
      <c r="M109" s="84"/>
      <c r="N109" s="84"/>
      <c r="O109" s="84"/>
    </row>
    <row r="110" spans="1:18" s="25" customFormat="1" ht="15" x14ac:dyDescent="0.25">
      <c r="A110" s="39" t="s">
        <v>982</v>
      </c>
      <c r="B110" s="32">
        <f>DATE(YEAR(Simulation!G11),12,31)-DATE(YEAR(Simulation!G11),1,1)+1</f>
        <v>366</v>
      </c>
      <c r="C110" s="26"/>
      <c r="D110" s="26"/>
      <c r="J110" s="83"/>
      <c r="K110" s="84"/>
      <c r="L110" s="84"/>
      <c r="M110" s="84"/>
      <c r="N110" s="84"/>
      <c r="O110" s="84"/>
    </row>
    <row r="111" spans="1:18" s="25" customFormat="1" ht="15" x14ac:dyDescent="0.25">
      <c r="A111" s="39" t="s">
        <v>988</v>
      </c>
      <c r="B111" s="85">
        <f>DATE(YEAR(Simulation!$G$11)+1,MONTH(Simulation!$G$11),DAY(Simulation!$G$11)-1)</f>
        <v>44196</v>
      </c>
      <c r="C111" s="26"/>
      <c r="D111" s="26"/>
      <c r="J111" s="83"/>
      <c r="K111" s="84"/>
      <c r="L111" s="84"/>
      <c r="M111" s="84"/>
      <c r="N111" s="84"/>
      <c r="O111" s="84"/>
    </row>
    <row r="112" spans="1:18" s="25" customFormat="1" ht="15" x14ac:dyDescent="0.25">
      <c r="A112" s="39" t="s">
        <v>990</v>
      </c>
      <c r="B112" s="85">
        <f>DATE(YEAR(Simulation!$G$11)+2,MONTH(Simulation!$G$11),DAY(Simulation!$G$11)-1)</f>
        <v>44561</v>
      </c>
      <c r="C112" s="26"/>
      <c r="D112" s="26"/>
      <c r="J112" s="83"/>
      <c r="K112" s="84"/>
      <c r="L112" s="84"/>
      <c r="M112" s="84"/>
      <c r="N112" s="84"/>
      <c r="O112" s="84"/>
    </row>
    <row r="113" spans="1:15" s="25" customFormat="1" ht="15" x14ac:dyDescent="0.25">
      <c r="A113" s="39" t="s">
        <v>991</v>
      </c>
      <c r="B113" s="85">
        <f>DATE(YEAR(Simulation!$G$11)+3,MONTH(Simulation!$G$11),DAY(Simulation!$G$11)-1)</f>
        <v>44926</v>
      </c>
      <c r="C113" s="26"/>
      <c r="D113" s="26"/>
      <c r="J113" s="83"/>
      <c r="K113" s="84"/>
      <c r="L113" s="84"/>
      <c r="M113" s="84"/>
      <c r="N113" s="84"/>
      <c r="O113" s="84"/>
    </row>
    <row r="114" spans="1:15" s="25" customFormat="1" ht="15" x14ac:dyDescent="0.25">
      <c r="A114" s="39" t="s">
        <v>989</v>
      </c>
      <c r="B114" s="85">
        <f>DATE(YEAR(Simulation!$G$11)+4,MONTH(Simulation!$G$11),DAY(Simulation!$G$11)-1)</f>
        <v>45291</v>
      </c>
      <c r="C114" s="26"/>
      <c r="D114" s="26"/>
      <c r="J114" s="83"/>
      <c r="K114" s="84"/>
      <c r="L114" s="84"/>
      <c r="M114" s="84"/>
      <c r="N114" s="84"/>
      <c r="O114" s="84"/>
    </row>
    <row r="115" spans="1:15" s="25" customFormat="1" ht="15" x14ac:dyDescent="0.25">
      <c r="A115" s="39" t="s">
        <v>938</v>
      </c>
      <c r="B115" s="43">
        <f>Simulation!G11-DATE(YEAR(Simulation!G11),1,0)</f>
        <v>1</v>
      </c>
      <c r="C115" s="26"/>
      <c r="D115" s="26"/>
      <c r="N115" s="26"/>
      <c r="O115" s="26"/>
    </row>
    <row r="116" spans="1:15" s="25" customFormat="1" ht="15" x14ac:dyDescent="0.25">
      <c r="A116" s="39" t="s">
        <v>937</v>
      </c>
      <c r="B116" s="32">
        <f>Simulation!G12-DATE(YEAR(Simulation!G12),1,0)</f>
        <v>182</v>
      </c>
      <c r="C116" s="26"/>
      <c r="D116" s="26"/>
      <c r="N116" s="26"/>
      <c r="O116" s="26"/>
    </row>
    <row r="117" spans="1:15" s="25" customFormat="1" ht="15" x14ac:dyDescent="0.25">
      <c r="A117" s="39" t="s">
        <v>936</v>
      </c>
      <c r="B117" s="32">
        <f>DAY(Simulation!G11)</f>
        <v>1</v>
      </c>
      <c r="C117" s="26"/>
      <c r="D117" s="26"/>
      <c r="N117" s="26"/>
      <c r="O117" s="26"/>
    </row>
    <row r="118" spans="1:15" s="25" customFormat="1" ht="15" x14ac:dyDescent="0.25">
      <c r="A118" s="39" t="s">
        <v>935</v>
      </c>
      <c r="B118" s="32">
        <f>DAY(Simulation!G12)</f>
        <v>30</v>
      </c>
      <c r="C118" s="26"/>
      <c r="D118" s="26"/>
      <c r="N118" s="26"/>
      <c r="O118" s="26"/>
    </row>
    <row r="119" spans="1:15" s="25" customFormat="1" ht="15" x14ac:dyDescent="0.25">
      <c r="A119" s="42"/>
      <c r="B119" s="44"/>
      <c r="C119" s="86"/>
      <c r="D119" s="86"/>
      <c r="E119" s="87"/>
      <c r="N119" s="26"/>
      <c r="O119" s="26"/>
    </row>
    <row r="120" spans="1:15" s="25" customFormat="1" ht="15" x14ac:dyDescent="0.25">
      <c r="A120" s="46" t="s">
        <v>934</v>
      </c>
      <c r="B120" s="44"/>
      <c r="C120" s="86"/>
      <c r="D120" s="86"/>
      <c r="E120" s="87"/>
      <c r="N120" s="26"/>
      <c r="O120" s="26"/>
    </row>
    <row r="121" spans="1:15" s="25" customFormat="1" ht="15" x14ac:dyDescent="0.25">
      <c r="A121" s="26" t="s">
        <v>933</v>
      </c>
      <c r="B121" s="44"/>
      <c r="C121" s="26"/>
      <c r="D121" s="26"/>
      <c r="N121" s="26"/>
      <c r="O121" s="26"/>
    </row>
    <row r="122" spans="1:15" s="25" customFormat="1" ht="15" x14ac:dyDescent="0.25">
      <c r="A122" s="26" t="s">
        <v>930</v>
      </c>
      <c r="B122" s="44"/>
      <c r="C122" s="26"/>
      <c r="D122" s="26"/>
      <c r="N122" s="26"/>
      <c r="O122" s="26"/>
    </row>
    <row r="123" spans="1:15" s="25" customFormat="1" ht="15" x14ac:dyDescent="0.25">
      <c r="A123" s="26" t="s">
        <v>932</v>
      </c>
      <c r="B123" s="44"/>
      <c r="C123" s="26"/>
      <c r="D123" s="26"/>
      <c r="N123" s="26"/>
      <c r="O123" s="26"/>
    </row>
    <row r="124" spans="1:15" s="25" customFormat="1" ht="15" x14ac:dyDescent="0.25">
      <c r="A124" s="26" t="s">
        <v>931</v>
      </c>
      <c r="B124" s="44"/>
      <c r="C124" s="26"/>
      <c r="D124" s="26"/>
      <c r="N124" s="26"/>
      <c r="O124" s="26"/>
    </row>
  </sheetData>
  <sheetProtection selectLockedCells="1" selectUnlockedCells="1"/>
  <mergeCells count="9">
    <mergeCell ref="H36:H107"/>
    <mergeCell ref="A10:C10"/>
    <mergeCell ref="A20:B20"/>
    <mergeCell ref="D20:E20"/>
    <mergeCell ref="A3:B3"/>
    <mergeCell ref="D34:E34"/>
    <mergeCell ref="A17:B17"/>
    <mergeCell ref="D36:D107"/>
    <mergeCell ref="E36:E10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Q40"/>
  <sheetViews>
    <sheetView workbookViewId="0">
      <selection activeCell="F7" sqref="F7"/>
    </sheetView>
  </sheetViews>
  <sheetFormatPr defaultRowHeight="12.75" x14ac:dyDescent="0.2"/>
  <cols>
    <col min="1" max="1" width="28.28515625" style="88" customWidth="1"/>
    <col min="2" max="2" width="6.42578125" style="88" bestFit="1" customWidth="1"/>
    <col min="3" max="3" width="12.42578125" style="88" bestFit="1" customWidth="1"/>
    <col min="4" max="4" width="17.42578125" style="88" bestFit="1" customWidth="1"/>
    <col min="5" max="5" width="15.140625" style="88" bestFit="1" customWidth="1"/>
    <col min="6" max="16384" width="9.140625" style="88"/>
  </cols>
  <sheetData>
    <row r="1" spans="1:17" s="24" customFormat="1" ht="15" x14ac:dyDescent="0.25">
      <c r="A1" s="24" t="s">
        <v>973</v>
      </c>
    </row>
    <row r="2" spans="1:17" s="25" customFormat="1" ht="15" x14ac:dyDescent="0.25">
      <c r="C2" s="26"/>
      <c r="D2" s="120" t="s">
        <v>1028</v>
      </c>
      <c r="G2" s="27"/>
      <c r="H2" s="27"/>
      <c r="N2" s="26"/>
      <c r="O2" s="26"/>
      <c r="Q2" s="26"/>
    </row>
    <row r="3" spans="1:17" s="25" customFormat="1" ht="15" x14ac:dyDescent="0.25">
      <c r="A3" s="117" t="s">
        <v>1025</v>
      </c>
      <c r="B3" s="116"/>
      <c r="C3" s="26"/>
      <c r="D3" s="26"/>
      <c r="G3" s="87"/>
      <c r="H3" s="87"/>
      <c r="N3" s="26"/>
      <c r="O3" s="26"/>
      <c r="Q3" s="26"/>
    </row>
    <row r="4" spans="1:17" s="25" customFormat="1" ht="15" x14ac:dyDescent="0.25">
      <c r="A4" s="117" t="s">
        <v>1026</v>
      </c>
      <c r="C4" s="26"/>
      <c r="D4" s="26"/>
      <c r="G4" s="87"/>
      <c r="H4" s="87"/>
      <c r="N4" s="26"/>
      <c r="O4" s="26"/>
      <c r="Q4" s="26"/>
    </row>
    <row r="5" spans="1:17" s="25" customFormat="1" ht="15" x14ac:dyDescent="0.25">
      <c r="C5" s="26"/>
      <c r="D5" s="26"/>
      <c r="G5" s="27"/>
      <c r="H5" s="27"/>
      <c r="N5" s="26"/>
      <c r="O5" s="26"/>
      <c r="Q5" s="26"/>
    </row>
    <row r="6" spans="1:17" s="25" customFormat="1" ht="15" x14ac:dyDescent="0.25">
      <c r="A6" s="32"/>
      <c r="B6" s="187" t="s">
        <v>972</v>
      </c>
      <c r="C6" s="187"/>
      <c r="D6" s="187"/>
      <c r="E6" s="187"/>
      <c r="G6" s="27"/>
      <c r="H6" s="27"/>
      <c r="N6" s="26"/>
      <c r="O6" s="26"/>
      <c r="Q6" s="26"/>
    </row>
    <row r="7" spans="1:17" s="25" customFormat="1" ht="15" x14ac:dyDescent="0.25">
      <c r="A7" s="32"/>
      <c r="B7" s="39" t="s">
        <v>2</v>
      </c>
      <c r="C7" s="31" t="s">
        <v>0</v>
      </c>
      <c r="D7" s="31"/>
      <c r="E7" s="39" t="s">
        <v>1</v>
      </c>
      <c r="G7" s="27"/>
      <c r="H7" s="27"/>
      <c r="N7" s="26"/>
      <c r="O7" s="26"/>
      <c r="Q7" s="26"/>
    </row>
    <row r="8" spans="1:17" s="25" customFormat="1" ht="15" x14ac:dyDescent="0.25">
      <c r="A8" s="39" t="s">
        <v>969</v>
      </c>
      <c r="B8" s="118">
        <v>1.048</v>
      </c>
      <c r="C8" s="118">
        <v>0.83799999999999997</v>
      </c>
      <c r="D8" s="89"/>
      <c r="E8" s="32" t="s">
        <v>960</v>
      </c>
      <c r="G8" s="27"/>
      <c r="H8" s="27"/>
      <c r="N8" s="26"/>
      <c r="O8" s="26"/>
      <c r="Q8" s="26"/>
    </row>
    <row r="9" spans="1:17" s="25" customFormat="1" ht="15" x14ac:dyDescent="0.25">
      <c r="A9" s="39" t="s">
        <v>1027</v>
      </c>
      <c r="B9" s="118">
        <v>0.61699999999999999</v>
      </c>
      <c r="C9" s="118">
        <v>0.49299999999999999</v>
      </c>
      <c r="D9" s="89"/>
      <c r="E9" s="32"/>
      <c r="G9" s="87"/>
      <c r="H9" s="87"/>
      <c r="N9" s="26"/>
      <c r="O9" s="26"/>
      <c r="Q9" s="26"/>
    </row>
    <row r="10" spans="1:17" s="25" customFormat="1" ht="15" x14ac:dyDescent="0.25">
      <c r="A10" s="39" t="s">
        <v>968</v>
      </c>
      <c r="B10" s="197">
        <v>8.72E-2</v>
      </c>
      <c r="C10" s="197"/>
      <c r="D10" s="90"/>
      <c r="E10" s="43" t="s">
        <v>959</v>
      </c>
      <c r="G10" s="27"/>
      <c r="H10" s="27"/>
      <c r="I10" s="28"/>
      <c r="N10" s="26"/>
      <c r="O10" s="26"/>
      <c r="Q10" s="26"/>
    </row>
    <row r="11" spans="1:17" s="25" customFormat="1" ht="15" x14ac:dyDescent="0.25">
      <c r="C11" s="26"/>
      <c r="D11" s="26"/>
      <c r="G11" s="27"/>
      <c r="H11" s="27"/>
      <c r="I11" s="28"/>
      <c r="N11" s="26"/>
      <c r="O11" s="26"/>
      <c r="Q11" s="26"/>
    </row>
    <row r="12" spans="1:17" s="25" customFormat="1" ht="15" x14ac:dyDescent="0.25">
      <c r="A12" s="32"/>
      <c r="B12" s="187" t="s">
        <v>971</v>
      </c>
      <c r="C12" s="187"/>
      <c r="D12" s="187"/>
      <c r="E12" s="187"/>
      <c r="G12" s="91"/>
      <c r="H12" s="91"/>
      <c r="I12" s="28"/>
      <c r="N12" s="26"/>
      <c r="O12" s="26"/>
      <c r="Q12" s="26"/>
    </row>
    <row r="13" spans="1:17" s="25" customFormat="1" ht="15" x14ac:dyDescent="0.25">
      <c r="A13" s="32"/>
      <c r="B13" s="39" t="s">
        <v>970</v>
      </c>
      <c r="C13" s="31" t="s">
        <v>0</v>
      </c>
      <c r="D13" s="31"/>
      <c r="E13" s="39" t="s">
        <v>1</v>
      </c>
      <c r="G13" s="91"/>
      <c r="H13" s="91"/>
      <c r="I13" s="28"/>
      <c r="N13" s="26"/>
      <c r="O13" s="26"/>
      <c r="Q13" s="26"/>
    </row>
    <row r="14" spans="1:17" s="25" customFormat="1" ht="15" x14ac:dyDescent="0.25">
      <c r="A14" s="39" t="s">
        <v>969</v>
      </c>
      <c r="B14" s="118">
        <v>1.163</v>
      </c>
      <c r="C14" s="118">
        <v>0.93100000000000005</v>
      </c>
      <c r="D14" s="89"/>
      <c r="E14" s="32" t="s">
        <v>960</v>
      </c>
      <c r="G14" s="91"/>
      <c r="H14" s="91"/>
      <c r="I14" s="28"/>
      <c r="N14" s="26"/>
      <c r="O14" s="26"/>
      <c r="Q14" s="26"/>
    </row>
    <row r="15" spans="1:17" s="25" customFormat="1" ht="15" x14ac:dyDescent="0.25">
      <c r="A15" s="39" t="s">
        <v>1027</v>
      </c>
      <c r="B15" s="118">
        <v>0.68500000000000005</v>
      </c>
      <c r="C15" s="118">
        <v>0.54800000000000004</v>
      </c>
      <c r="D15" s="89"/>
      <c r="E15" s="32"/>
      <c r="G15" s="91"/>
      <c r="H15" s="91"/>
      <c r="I15" s="28"/>
      <c r="N15" s="26"/>
      <c r="O15" s="26"/>
      <c r="Q15" s="26"/>
    </row>
    <row r="16" spans="1:17" s="25" customFormat="1" ht="15" x14ac:dyDescent="0.25">
      <c r="A16" s="39" t="s">
        <v>968</v>
      </c>
      <c r="B16" s="197">
        <v>9.6799999999999997E-2</v>
      </c>
      <c r="C16" s="197"/>
      <c r="D16" s="90"/>
      <c r="E16" s="43" t="s">
        <v>959</v>
      </c>
      <c r="G16" s="91"/>
      <c r="H16" s="91"/>
      <c r="I16" s="28"/>
      <c r="N16" s="26"/>
      <c r="O16" s="26"/>
      <c r="Q16" s="26"/>
    </row>
    <row r="17" spans="1:17" s="25" customFormat="1" ht="15" x14ac:dyDescent="0.25">
      <c r="C17" s="26"/>
      <c r="D17" s="26"/>
      <c r="G17" s="27"/>
      <c r="H17" s="27"/>
      <c r="I17" s="28"/>
      <c r="N17" s="26"/>
      <c r="O17" s="26"/>
      <c r="Q17" s="26"/>
    </row>
    <row r="18" spans="1:17" s="25" customFormat="1" ht="15" x14ac:dyDescent="0.25">
      <c r="A18" s="39" t="s">
        <v>967</v>
      </c>
      <c r="B18" s="92">
        <v>0.08</v>
      </c>
      <c r="C18" s="25" t="s">
        <v>966</v>
      </c>
      <c r="G18" s="27"/>
      <c r="H18" s="27"/>
      <c r="I18" s="28"/>
      <c r="N18" s="26"/>
      <c r="O18" s="26"/>
      <c r="Q18" s="26"/>
    </row>
    <row r="19" spans="1:17" s="25" customFormat="1" ht="15" x14ac:dyDescent="0.25">
      <c r="C19" s="26"/>
      <c r="D19" s="26"/>
      <c r="G19" s="27"/>
      <c r="H19" s="27"/>
      <c r="I19" s="28"/>
      <c r="N19" s="26"/>
      <c r="O19" s="26"/>
      <c r="Q19" s="26"/>
    </row>
    <row r="20" spans="1:17" s="25" customFormat="1" ht="15" x14ac:dyDescent="0.25">
      <c r="A20" s="198" t="s">
        <v>981</v>
      </c>
      <c r="B20" s="199"/>
      <c r="C20" s="26"/>
      <c r="D20" s="26"/>
      <c r="G20" s="27"/>
      <c r="H20" s="27"/>
      <c r="I20" s="28"/>
      <c r="N20" s="26"/>
      <c r="O20" s="26"/>
      <c r="Q20" s="26"/>
    </row>
    <row r="21" spans="1:17" s="25" customFormat="1" ht="15" x14ac:dyDescent="0.25">
      <c r="A21" s="39" t="s">
        <v>951</v>
      </c>
      <c r="B21" s="119">
        <v>2.5375000000000001</v>
      </c>
      <c r="C21" s="200" t="s">
        <v>1062</v>
      </c>
      <c r="D21" s="26"/>
      <c r="G21" s="27"/>
      <c r="H21" s="27"/>
      <c r="I21" s="28"/>
      <c r="N21" s="26"/>
      <c r="O21" s="26"/>
      <c r="Q21" s="26"/>
    </row>
    <row r="22" spans="1:17" s="25" customFormat="1" ht="15" x14ac:dyDescent="0.25">
      <c r="A22" s="39" t="s">
        <v>950</v>
      </c>
      <c r="B22" s="119">
        <v>2.2475000000000001</v>
      </c>
      <c r="C22" s="201"/>
      <c r="D22" s="157"/>
      <c r="G22" s="27"/>
      <c r="H22" s="27"/>
      <c r="I22" s="28"/>
      <c r="N22" s="26"/>
      <c r="O22" s="26"/>
      <c r="Q22" s="26"/>
    </row>
    <row r="23" spans="1:17" s="25" customFormat="1" ht="15" x14ac:dyDescent="0.25">
      <c r="A23" s="39" t="s">
        <v>949</v>
      </c>
      <c r="B23" s="119">
        <v>1.885</v>
      </c>
      <c r="C23" s="201"/>
      <c r="D23" s="26"/>
      <c r="G23" s="27"/>
      <c r="H23" s="27"/>
      <c r="I23" s="28"/>
      <c r="N23" s="26"/>
      <c r="O23" s="26"/>
      <c r="Q23" s="26"/>
    </row>
    <row r="24" spans="1:17" s="25" customFormat="1" ht="15" x14ac:dyDescent="0.25">
      <c r="A24" s="39" t="s">
        <v>948</v>
      </c>
      <c r="B24" s="119">
        <v>1.3774999999999999</v>
      </c>
      <c r="C24" s="201"/>
      <c r="D24" s="26"/>
      <c r="G24" s="27"/>
      <c r="H24" s="27"/>
      <c r="I24" s="28"/>
      <c r="N24" s="26"/>
      <c r="O24" s="26"/>
      <c r="Q24" s="26"/>
    </row>
    <row r="25" spans="1:17" s="25" customFormat="1" ht="15" x14ac:dyDescent="0.25">
      <c r="A25" s="39" t="s">
        <v>947</v>
      </c>
      <c r="B25" s="119">
        <v>0.9425</v>
      </c>
      <c r="C25" s="201"/>
      <c r="D25" s="26"/>
      <c r="G25" s="27"/>
      <c r="H25" s="27"/>
      <c r="I25" s="28"/>
      <c r="N25" s="26"/>
      <c r="O25" s="26"/>
      <c r="Q25" s="26"/>
    </row>
    <row r="26" spans="1:17" s="25" customFormat="1" ht="15" x14ac:dyDescent="0.25">
      <c r="A26" s="39" t="s">
        <v>946</v>
      </c>
      <c r="B26" s="119">
        <v>0.72499999999999998</v>
      </c>
      <c r="C26" s="201"/>
      <c r="D26" s="26"/>
      <c r="G26" s="27"/>
      <c r="H26" s="27"/>
      <c r="I26" s="28"/>
      <c r="N26" s="26"/>
      <c r="O26" s="26"/>
      <c r="Q26" s="26"/>
    </row>
    <row r="27" spans="1:17" s="25" customFormat="1" ht="15" x14ac:dyDescent="0.25">
      <c r="A27" s="39" t="s">
        <v>945</v>
      </c>
      <c r="B27" s="119">
        <v>0.72499999999999998</v>
      </c>
      <c r="C27" s="201"/>
      <c r="D27" s="26"/>
      <c r="G27" s="27"/>
      <c r="H27" s="27"/>
      <c r="I27" s="28"/>
      <c r="N27" s="26"/>
      <c r="O27" s="26"/>
      <c r="Q27" s="26"/>
    </row>
    <row r="28" spans="1:17" s="25" customFormat="1" ht="15" x14ac:dyDescent="0.25">
      <c r="A28" s="39" t="s">
        <v>944</v>
      </c>
      <c r="B28" s="119">
        <v>0.72499999999999998</v>
      </c>
      <c r="C28" s="201"/>
      <c r="D28" s="26"/>
      <c r="G28" s="27"/>
      <c r="H28" s="27"/>
      <c r="I28" s="28"/>
      <c r="N28" s="26"/>
      <c r="O28" s="26"/>
      <c r="Q28" s="26"/>
    </row>
    <row r="29" spans="1:17" s="25" customFormat="1" ht="15" x14ac:dyDescent="0.25">
      <c r="A29" s="39" t="s">
        <v>943</v>
      </c>
      <c r="B29" s="119">
        <v>0.9425</v>
      </c>
      <c r="C29" s="201"/>
      <c r="D29" s="26"/>
      <c r="G29" s="27"/>
      <c r="H29" s="27"/>
      <c r="I29" s="28"/>
      <c r="N29" s="26"/>
      <c r="O29" s="26"/>
      <c r="Q29" s="26"/>
    </row>
    <row r="30" spans="1:17" s="25" customFormat="1" ht="15" x14ac:dyDescent="0.25">
      <c r="A30" s="39" t="s">
        <v>942</v>
      </c>
      <c r="B30" s="119">
        <v>1.5225</v>
      </c>
      <c r="C30" s="201"/>
      <c r="D30" s="26"/>
      <c r="G30" s="27"/>
      <c r="H30" s="27"/>
      <c r="I30" s="28"/>
      <c r="N30" s="26"/>
      <c r="O30" s="26"/>
      <c r="Q30" s="26"/>
    </row>
    <row r="31" spans="1:17" s="25" customFormat="1" ht="15" x14ac:dyDescent="0.25">
      <c r="A31" s="39" t="s">
        <v>941</v>
      </c>
      <c r="B31" s="119">
        <v>2.0299999999999998</v>
      </c>
      <c r="C31" s="201"/>
      <c r="D31" s="26"/>
      <c r="G31" s="27"/>
      <c r="H31" s="27"/>
      <c r="I31" s="28"/>
      <c r="N31" s="26"/>
      <c r="O31" s="26"/>
      <c r="Q31" s="26"/>
    </row>
    <row r="32" spans="1:17" s="25" customFormat="1" ht="15" x14ac:dyDescent="0.25">
      <c r="A32" s="39" t="s">
        <v>940</v>
      </c>
      <c r="B32" s="119">
        <v>2.3199999999999998</v>
      </c>
      <c r="C32" s="201"/>
      <c r="D32" s="26"/>
      <c r="G32" s="27"/>
      <c r="H32" s="27"/>
      <c r="I32" s="28"/>
      <c r="N32" s="26"/>
      <c r="O32" s="26"/>
      <c r="Q32" s="26"/>
    </row>
    <row r="35" spans="1:4" ht="15" x14ac:dyDescent="0.25">
      <c r="A35" s="187" t="s">
        <v>1000</v>
      </c>
      <c r="B35" s="187"/>
      <c r="C35" s="187"/>
      <c r="D35" s="25"/>
    </row>
    <row r="36" spans="1:4" ht="15" x14ac:dyDescent="0.25">
      <c r="A36" s="32"/>
      <c r="B36" s="97" t="s">
        <v>1003</v>
      </c>
      <c r="C36" s="97" t="s">
        <v>1004</v>
      </c>
      <c r="D36" s="25"/>
    </row>
    <row r="37" spans="1:4" ht="15" x14ac:dyDescent="0.25">
      <c r="A37" s="97" t="s">
        <v>1001</v>
      </c>
      <c r="B37" s="118">
        <v>0.35699999999999998</v>
      </c>
      <c r="C37" s="118">
        <v>0.41199999999999998</v>
      </c>
      <c r="D37" s="96" t="s">
        <v>1005</v>
      </c>
    </row>
    <row r="38" spans="1:4" ht="15" x14ac:dyDescent="0.25">
      <c r="A38" s="97" t="s">
        <v>1002</v>
      </c>
      <c r="B38" s="118">
        <v>0.03</v>
      </c>
      <c r="C38" s="118">
        <v>3.5000000000000003E-2</v>
      </c>
      <c r="D38" s="96" t="s">
        <v>1008</v>
      </c>
    </row>
    <row r="39" spans="1:4" ht="15" x14ac:dyDescent="0.25">
      <c r="A39" s="97" t="s">
        <v>1006</v>
      </c>
      <c r="B39" s="196">
        <v>0.496</v>
      </c>
      <c r="C39" s="196"/>
      <c r="D39" s="96" t="s">
        <v>1016</v>
      </c>
    </row>
    <row r="40" spans="1:4" ht="15" x14ac:dyDescent="0.25">
      <c r="A40" s="97" t="s">
        <v>1007</v>
      </c>
      <c r="B40" s="196">
        <v>0.105</v>
      </c>
      <c r="C40" s="196"/>
      <c r="D40" s="96" t="s">
        <v>1016</v>
      </c>
    </row>
  </sheetData>
  <sheetProtection selectLockedCells="1" selectUnlockedCells="1"/>
  <mergeCells count="9">
    <mergeCell ref="A35:C35"/>
    <mergeCell ref="B39:C39"/>
    <mergeCell ref="B40:C40"/>
    <mergeCell ref="B6:E6"/>
    <mergeCell ref="B10:C10"/>
    <mergeCell ref="B12:E12"/>
    <mergeCell ref="B16:C16"/>
    <mergeCell ref="A20:B20"/>
    <mergeCell ref="C21:C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229"/>
  <sheetViews>
    <sheetView topLeftCell="H1" workbookViewId="0">
      <pane ySplit="1" topLeftCell="A29" activePane="bottomLeft" state="frozen"/>
      <selection pane="bottomLeft" activeCell="A39" sqref="A39:XFD39"/>
    </sheetView>
  </sheetViews>
  <sheetFormatPr defaultColWidth="60.7109375" defaultRowHeight="20.25" customHeight="1" x14ac:dyDescent="0.2"/>
  <cols>
    <col min="1" max="1" width="58.140625" style="133" bestFit="1" customWidth="1"/>
    <col min="2" max="2" width="34.28515625" style="133" bestFit="1" customWidth="1"/>
    <col min="3" max="3" width="19.140625" style="133" bestFit="1" customWidth="1"/>
    <col min="4" max="4" width="22.7109375" style="133" customWidth="1"/>
    <col min="5" max="5" width="35.85546875" style="133" customWidth="1"/>
    <col min="6" max="6" width="32.140625" style="133" bestFit="1" customWidth="1"/>
    <col min="7" max="7" width="38.28515625" style="133" bestFit="1" customWidth="1"/>
    <col min="8" max="8" width="27.42578125" style="133" bestFit="1" customWidth="1"/>
    <col min="9" max="9" width="44" style="133" customWidth="1"/>
    <col min="10" max="10" width="41.7109375" style="133" bestFit="1" customWidth="1"/>
    <col min="11" max="11" width="32.28515625" style="133" bestFit="1" customWidth="1"/>
    <col min="12" max="12" width="39.28515625" style="133" bestFit="1" customWidth="1"/>
    <col min="13" max="13" width="7.28515625" style="133" customWidth="1"/>
    <col min="14" max="14" width="10.140625" style="133" customWidth="1"/>
    <col min="15" max="15" width="6" style="133" bestFit="1" customWidth="1"/>
    <col min="16" max="16" width="16.140625" style="133" bestFit="1" customWidth="1"/>
    <col min="17" max="17" width="18" style="133" bestFit="1" customWidth="1"/>
    <col min="18" max="18" width="16" style="133" customWidth="1"/>
    <col min="19" max="16384" width="60.7109375" style="133"/>
  </cols>
  <sheetData>
    <row r="1" spans="1:18" s="94" customFormat="1" ht="20.25" customHeight="1" x14ac:dyDescent="0.2">
      <c r="A1" s="124" t="s">
        <v>929</v>
      </c>
      <c r="B1" s="125" t="s">
        <v>928</v>
      </c>
      <c r="C1" s="125" t="s">
        <v>927</v>
      </c>
      <c r="D1" s="125" t="s">
        <v>926</v>
      </c>
      <c r="E1" s="126" t="s">
        <v>925</v>
      </c>
      <c r="F1" s="125" t="s">
        <v>924</v>
      </c>
      <c r="G1" s="125" t="s">
        <v>923</v>
      </c>
      <c r="H1" s="124" t="s">
        <v>922</v>
      </c>
      <c r="I1" s="124" t="s">
        <v>921</v>
      </c>
      <c r="J1" s="125" t="s">
        <v>920</v>
      </c>
      <c r="K1" s="124" t="s">
        <v>919</v>
      </c>
      <c r="L1" s="124" t="s">
        <v>918</v>
      </c>
      <c r="M1" s="124" t="s">
        <v>917</v>
      </c>
      <c r="N1" s="124" t="s">
        <v>1027</v>
      </c>
      <c r="O1" s="124" t="s">
        <v>916</v>
      </c>
      <c r="P1" s="127" t="s">
        <v>915</v>
      </c>
      <c r="Q1" s="127" t="s">
        <v>914</v>
      </c>
      <c r="R1" s="93"/>
    </row>
    <row r="2" spans="1:18" s="94" customFormat="1" ht="20.25" customHeight="1" x14ac:dyDescent="0.2">
      <c r="A2" s="128" t="s">
        <v>1072</v>
      </c>
      <c r="B2" s="129" t="s">
        <v>913</v>
      </c>
      <c r="C2" s="129" t="s">
        <v>912</v>
      </c>
      <c r="D2" s="129" t="s">
        <v>16</v>
      </c>
      <c r="E2" s="128" t="e">
        <f>VLOOKUP(A2:A230,[1]Coefficients!$A$5:$R$232,5,FALSE)</f>
        <v>#N/A</v>
      </c>
      <c r="F2" s="129" t="e">
        <f>VLOOKUP(A2:A230,[1]Coefficients!$A$5:$R$232,6,FALSE)</f>
        <v>#N/A</v>
      </c>
      <c r="G2" s="129" t="e">
        <f>VLOOKUP(A2:A230,[1]Coefficients!$A$5:$R$232,7,FALSE)</f>
        <v>#N/A</v>
      </c>
      <c r="H2" s="128" t="e">
        <f>VLOOKUP(A2:A230,[1]Coefficients!$A$5:$R$232,8,FALSE)</f>
        <v>#N/A</v>
      </c>
      <c r="I2" s="128" t="s">
        <v>911</v>
      </c>
      <c r="J2" s="129" t="s">
        <v>910</v>
      </c>
      <c r="K2" s="128" t="s">
        <v>13</v>
      </c>
      <c r="L2" s="128" t="s">
        <v>6</v>
      </c>
      <c r="M2" s="128">
        <v>1</v>
      </c>
      <c r="N2" s="128">
        <v>1</v>
      </c>
      <c r="O2" s="128">
        <v>0</v>
      </c>
      <c r="P2" s="129" t="e">
        <f>VLOOKUP(A2:A229,[1]Coefficients!$A$5:$T$232,19,FALSE)</f>
        <v>#N/A</v>
      </c>
      <c r="Q2" s="129"/>
      <c r="R2" s="95"/>
    </row>
    <row r="3" spans="1:18" s="94" customFormat="1" ht="20.25" customHeight="1" x14ac:dyDescent="0.2">
      <c r="A3" s="130" t="s">
        <v>907</v>
      </c>
      <c r="B3" s="131" t="s">
        <v>909</v>
      </c>
      <c r="C3" s="131" t="s">
        <v>908</v>
      </c>
      <c r="D3" s="131" t="s">
        <v>16</v>
      </c>
      <c r="E3" s="130" t="str">
        <f>VLOOKUP(A3:A231,[1]Coefficients!$A$5:$R$232,5,FALSE)</f>
        <v>Haven 1005 - Canadastraat</v>
      </c>
      <c r="F3" s="131">
        <f>VLOOKUP(A3:A231,[1]Coefficients!$A$5:$R$232,6,FALSE)</f>
        <v>11</v>
      </c>
      <c r="G3" s="131">
        <f>VLOOKUP(A3:A231,[1]Coefficients!$A$5:$R$232,7,FALSE)</f>
        <v>2070</v>
      </c>
      <c r="H3" s="130" t="str">
        <f>VLOOKUP(A3:A231,[1]Coefficients!$A$5:$R$232,8,FALSE)</f>
        <v>ZWIJNDRECHT</v>
      </c>
      <c r="I3" s="130" t="s">
        <v>907</v>
      </c>
      <c r="J3" s="131" t="s">
        <v>906</v>
      </c>
      <c r="K3" s="130" t="s">
        <v>13</v>
      </c>
      <c r="L3" s="130" t="s">
        <v>6</v>
      </c>
      <c r="M3" s="130">
        <v>1</v>
      </c>
      <c r="N3" s="130">
        <v>0</v>
      </c>
      <c r="O3" s="130">
        <v>0</v>
      </c>
      <c r="P3" s="131" t="str">
        <f>VLOOKUP(A3:A230,[1]Coefficients!$A$5:$T$232,19,FALSE)</f>
        <v>22ZFL004714----2</v>
      </c>
      <c r="Q3" s="131"/>
      <c r="R3" s="95"/>
    </row>
    <row r="4" spans="1:18" s="94" customFormat="1" ht="20.25" customHeight="1" x14ac:dyDescent="0.2">
      <c r="A4" s="128" t="s">
        <v>903</v>
      </c>
      <c r="B4" s="129" t="s">
        <v>905</v>
      </c>
      <c r="C4" s="129" t="s">
        <v>904</v>
      </c>
      <c r="D4" s="129" t="s">
        <v>16</v>
      </c>
      <c r="E4" s="128" t="str">
        <f>VLOOKUP(A4:A232,[1]Coefficients!$A$5:$R$232,5,FALSE)</f>
        <v>Haven 1931 - Geslecht</v>
      </c>
      <c r="F4" s="129" t="str">
        <f>VLOOKUP(A4:A232,[1]Coefficients!$A$5:$R$232,6,FALSE)</f>
        <v>z/n</v>
      </c>
      <c r="G4" s="129">
        <f>VLOOKUP(A4:A232,[1]Coefficients!$A$5:$R$232,7,FALSE)</f>
        <v>9130</v>
      </c>
      <c r="H4" s="128" t="str">
        <f>VLOOKUP(A4:A232,[1]Coefficients!$A$5:$R$232,8,FALSE)</f>
        <v>BEVEREN</v>
      </c>
      <c r="I4" s="128" t="s">
        <v>903</v>
      </c>
      <c r="J4" s="129" t="s">
        <v>902</v>
      </c>
      <c r="K4" s="128" t="s">
        <v>13</v>
      </c>
      <c r="L4" s="128" t="s">
        <v>6</v>
      </c>
      <c r="M4" s="128">
        <v>1</v>
      </c>
      <c r="N4" s="130">
        <v>0</v>
      </c>
      <c r="O4" s="128">
        <v>0</v>
      </c>
      <c r="P4" s="129" t="str">
        <f>VLOOKUP(A4:A231,[1]Coefficients!$A$5:$T$232,19,FALSE)</f>
        <v>57ZFL007324----P</v>
      </c>
      <c r="Q4" s="129"/>
      <c r="R4" s="95"/>
    </row>
    <row r="5" spans="1:18" s="94" customFormat="1" ht="20.25" customHeight="1" x14ac:dyDescent="0.2">
      <c r="A5" s="130" t="s">
        <v>899</v>
      </c>
      <c r="B5" s="131" t="s">
        <v>901</v>
      </c>
      <c r="C5" s="131" t="s">
        <v>900</v>
      </c>
      <c r="D5" s="131" t="s">
        <v>16</v>
      </c>
      <c r="E5" s="130" t="str">
        <f>VLOOKUP(A5:A233,[1]Coefficients!$A$5:$R$232,5,FALSE)</f>
        <v xml:space="preserve">Haven 1111 – Steenlandlaan </v>
      </c>
      <c r="F5" s="131">
        <f>VLOOKUP(A5:A233,[1]Coefficients!$A$5:$R$232,6,FALSE)</f>
        <v>3</v>
      </c>
      <c r="G5" s="131">
        <f>VLOOKUP(A5:A233,[1]Coefficients!$A$5:$R$232,7,FALSE)</f>
        <v>9130</v>
      </c>
      <c r="H5" s="130" t="str">
        <f>VLOOKUP(A5:A233,[1]Coefficients!$A$5:$R$232,8,FALSE)</f>
        <v>BEVEREN</v>
      </c>
      <c r="I5" s="130" t="s">
        <v>899</v>
      </c>
      <c r="J5" s="131" t="s">
        <v>898</v>
      </c>
      <c r="K5" s="130" t="s">
        <v>13</v>
      </c>
      <c r="L5" s="130" t="s">
        <v>6</v>
      </c>
      <c r="M5" s="130">
        <v>1</v>
      </c>
      <c r="N5" s="130">
        <v>0</v>
      </c>
      <c r="O5" s="130">
        <v>0</v>
      </c>
      <c r="P5" s="131" t="str">
        <f>VLOOKUP(A5:A232,[1]Coefficients!$A$5:$T$232,19,FALSE)</f>
        <v>22ZFL007157----E</v>
      </c>
      <c r="Q5" s="131"/>
      <c r="R5" s="95"/>
    </row>
    <row r="6" spans="1:18" s="94" customFormat="1" ht="20.25" customHeight="1" x14ac:dyDescent="0.2">
      <c r="A6" s="128" t="s">
        <v>895</v>
      </c>
      <c r="B6" s="129" t="s">
        <v>897</v>
      </c>
      <c r="C6" s="129" t="s">
        <v>896</v>
      </c>
      <c r="D6" s="129" t="s">
        <v>16</v>
      </c>
      <c r="E6" s="128" t="str">
        <f>VLOOKUP(A6:A234,[1]Coefficients!$A$5:$R$232,5,FALSE)</f>
        <v>Avenue du Marquis (Zoning Industriel)</v>
      </c>
      <c r="F6" s="129">
        <f>VLOOKUP(A6:A234,[1]Coefficients!$A$5:$R$232,6,FALSE)</f>
        <v>1</v>
      </c>
      <c r="G6" s="129">
        <f>VLOOKUP(A6:A234,[1]Coefficients!$A$5:$R$232,7,FALSE)</f>
        <v>6220</v>
      </c>
      <c r="H6" s="128" t="str">
        <f>VLOOKUP(A6:A234,[1]Coefficients!$A$5:$R$232,8,FALSE)</f>
        <v>FLEURUS</v>
      </c>
      <c r="I6" s="128" t="s">
        <v>895</v>
      </c>
      <c r="J6" s="129" t="s">
        <v>894</v>
      </c>
      <c r="K6" s="128" t="s">
        <v>13</v>
      </c>
      <c r="L6" s="128" t="s">
        <v>6</v>
      </c>
      <c r="M6" s="128">
        <v>1</v>
      </c>
      <c r="N6" s="128">
        <v>1</v>
      </c>
      <c r="O6" s="128">
        <v>0</v>
      </c>
      <c r="P6" s="129" t="str">
        <f>VLOOKUP(A6:A233,[1]Coefficients!$A$5:$T$232,19,FALSE)</f>
        <v>22ZFL004753----H</v>
      </c>
      <c r="Q6" s="129"/>
      <c r="R6" s="95"/>
    </row>
    <row r="7" spans="1:18" s="94" customFormat="1" ht="20.25" customHeight="1" x14ac:dyDescent="0.2">
      <c r="A7" s="130" t="s">
        <v>888</v>
      </c>
      <c r="B7" s="131" t="s">
        <v>890</v>
      </c>
      <c r="C7" s="131" t="s">
        <v>889</v>
      </c>
      <c r="D7" s="131" t="s">
        <v>16</v>
      </c>
      <c r="E7" s="130" t="str">
        <f>VLOOKUP(A7:A235,[1]Coefficients!$A$5:$R$232,5,FALSE)</f>
        <v>Rue Pige au Croly</v>
      </c>
      <c r="F7" s="131">
        <f>VLOOKUP(A7:A235,[1]Coefficients!$A$5:$R$232,6,FALSE)</f>
        <v>157</v>
      </c>
      <c r="G7" s="131">
        <f>VLOOKUP(A7:A235,[1]Coefficients!$A$5:$R$232,7,FALSE)</f>
        <v>6000</v>
      </c>
      <c r="H7" s="130" t="str">
        <f>VLOOKUP(A7:A235,[1]Coefficients!$A$5:$R$232,8,FALSE)</f>
        <v>CHARLEROI</v>
      </c>
      <c r="I7" s="130" t="s">
        <v>888</v>
      </c>
      <c r="J7" s="131" t="s">
        <v>887</v>
      </c>
      <c r="K7" s="130" t="s">
        <v>13</v>
      </c>
      <c r="L7" s="130" t="s">
        <v>6</v>
      </c>
      <c r="M7" s="130">
        <v>1</v>
      </c>
      <c r="N7" s="128">
        <v>1</v>
      </c>
      <c r="O7" s="130">
        <v>1</v>
      </c>
      <c r="P7" s="131" t="str">
        <f>VLOOKUP(A7:A234,[1]Coefficients!$A$5:$T$232,19,FALSE)</f>
        <v>22ZFL542510----2</v>
      </c>
      <c r="Q7" s="131"/>
      <c r="R7" s="95"/>
    </row>
    <row r="8" spans="1:18" s="94" customFormat="1" ht="20.25" customHeight="1" x14ac:dyDescent="0.2">
      <c r="A8" s="128" t="s">
        <v>884</v>
      </c>
      <c r="B8" s="129" t="s">
        <v>886</v>
      </c>
      <c r="C8" s="129" t="s">
        <v>885</v>
      </c>
      <c r="D8" s="129" t="s">
        <v>16</v>
      </c>
      <c r="E8" s="128" t="str">
        <f>VLOOKUP(A8:A236,[1]Coefficients!$A$5:$R$232,5,FALSE)</f>
        <v>Venetiëlaan</v>
      </c>
      <c r="F8" s="129" t="str">
        <f>VLOOKUP(A8:A236,[1]Coefficients!$A$5:$R$232,6,FALSE)</f>
        <v>z/n</v>
      </c>
      <c r="G8" s="129">
        <f>VLOOKUP(A8:A236,[1]Coefficients!$A$5:$R$232,7,FALSE)</f>
        <v>2400</v>
      </c>
      <c r="H8" s="128" t="str">
        <f>VLOOKUP(A8:A236,[1]Coefficients!$A$5:$R$232,8,FALSE)</f>
        <v>MOL</v>
      </c>
      <c r="I8" s="128" t="s">
        <v>884</v>
      </c>
      <c r="J8" s="129" t="s">
        <v>883</v>
      </c>
      <c r="K8" s="128" t="s">
        <v>13</v>
      </c>
      <c r="L8" s="128" t="s">
        <v>6</v>
      </c>
      <c r="M8" s="128">
        <v>1</v>
      </c>
      <c r="N8" s="130">
        <v>0</v>
      </c>
      <c r="O8" s="128">
        <v>0</v>
      </c>
      <c r="P8" s="129" t="str">
        <f>VLOOKUP(A8:A235,[1]Coefficients!$A$5:$T$232,19,FALSE)</f>
        <v>22ZFL114310----0</v>
      </c>
      <c r="Q8" s="129" t="str">
        <f>VLOOKUP(A8:A235,[1]Coefficients!$A$5:$T$232,20,FALSE)</f>
        <v>01/09/2015 - Done</v>
      </c>
      <c r="R8" s="95"/>
    </row>
    <row r="9" spans="1:18" s="94" customFormat="1" ht="20.25" customHeight="1" x14ac:dyDescent="0.2">
      <c r="A9" s="130" t="s">
        <v>880</v>
      </c>
      <c r="B9" s="131" t="s">
        <v>882</v>
      </c>
      <c r="C9" s="131" t="s">
        <v>881</v>
      </c>
      <c r="D9" s="131" t="s">
        <v>16</v>
      </c>
      <c r="E9" s="130" t="str">
        <f>VLOOKUP(A9:A237,[1]Coefficients!$A$5:$R$232,5,FALSE)</f>
        <v>Rue de la Glacerie</v>
      </c>
      <c r="F9" s="131">
        <f>VLOOKUP(A9:A237,[1]Coefficients!$A$5:$R$232,6,FALSE)</f>
        <v>167</v>
      </c>
      <c r="G9" s="131">
        <f>VLOOKUP(A9:A237,[1]Coefficients!$A$5:$R$232,7,FALSE)</f>
        <v>5190</v>
      </c>
      <c r="H9" s="130" t="str">
        <f>VLOOKUP(A9:A237,[1]Coefficients!$A$5:$R$232,8,FALSE)</f>
        <v>JEMEPPE-SUR-SAMBRE</v>
      </c>
      <c r="I9" s="130" t="s">
        <v>880</v>
      </c>
      <c r="J9" s="131" t="s">
        <v>879</v>
      </c>
      <c r="K9" s="130" t="s">
        <v>13</v>
      </c>
      <c r="L9" s="130" t="s">
        <v>6</v>
      </c>
      <c r="M9" s="130">
        <v>1</v>
      </c>
      <c r="N9" s="128">
        <v>1</v>
      </c>
      <c r="O9" s="130">
        <v>0</v>
      </c>
      <c r="P9" s="131" t="str">
        <f>VLOOKUP(A9:A236,[1]Coefficients!$A$5:$T$232,19,FALSE)</f>
        <v>22ZFL007188----O</v>
      </c>
      <c r="Q9" s="131"/>
      <c r="R9" s="95"/>
    </row>
    <row r="10" spans="1:18" s="94" customFormat="1" ht="20.25" customHeight="1" x14ac:dyDescent="0.2">
      <c r="A10" s="128" t="s">
        <v>878</v>
      </c>
      <c r="B10" s="129" t="s">
        <v>877</v>
      </c>
      <c r="C10" s="129" t="s">
        <v>876</v>
      </c>
      <c r="D10" s="129" t="s">
        <v>16</v>
      </c>
      <c r="E10" s="128" t="str">
        <f>VLOOKUP(A10:A238,[1]Coefficients!$A$5:$R$232,5,FALSE)</f>
        <v>Scheldelaan - Haven 725</v>
      </c>
      <c r="F10" s="129">
        <f>VLOOKUP(A10:A238,[1]Coefficients!$A$5:$R$232,6,FALSE)</f>
        <v>600</v>
      </c>
      <c r="G10" s="129">
        <f>VLOOKUP(A10:A238,[1]Coefficients!$A$5:$R$232,7,FALSE)</f>
        <v>2040</v>
      </c>
      <c r="H10" s="128" t="str">
        <f>VLOOKUP(A10:A238,[1]Coefficients!$A$5:$R$232,8,FALSE)</f>
        <v>ANTWERPEN</v>
      </c>
      <c r="I10" s="128" t="s">
        <v>867</v>
      </c>
      <c r="J10" s="129" t="s">
        <v>866</v>
      </c>
      <c r="K10" s="128" t="s">
        <v>13</v>
      </c>
      <c r="L10" s="128" t="s">
        <v>6</v>
      </c>
      <c r="M10" s="128">
        <v>1</v>
      </c>
      <c r="N10" s="130">
        <v>0</v>
      </c>
      <c r="O10" s="128">
        <v>0</v>
      </c>
      <c r="P10" s="129" t="str">
        <f>VLOOKUP(A10:A237,[1]Coefficients!$A$5:$T$232,19,FALSE)</f>
        <v>22ZFL007133----F</v>
      </c>
      <c r="Q10" s="129"/>
      <c r="R10" s="95"/>
    </row>
    <row r="11" spans="1:18" s="94" customFormat="1" ht="20.25" customHeight="1" x14ac:dyDescent="0.2">
      <c r="A11" s="130" t="s">
        <v>875</v>
      </c>
      <c r="B11" s="131" t="s">
        <v>874</v>
      </c>
      <c r="C11" s="131" t="s">
        <v>873</v>
      </c>
      <c r="D11" s="131" t="s">
        <v>16</v>
      </c>
      <c r="E11" s="130" t="str">
        <f>VLOOKUP(A11:A239,[1]Coefficients!$A$5:$R$232,5,FALSE)</f>
        <v>rue de la réunion</v>
      </c>
      <c r="F11" s="131" t="str">
        <f>VLOOKUP(A11:A239,[1]Coefficients!$A$5:$R$232,6,FALSE)</f>
        <v>100B</v>
      </c>
      <c r="G11" s="131">
        <f>VLOOKUP(A11:A239,[1]Coefficients!$A$5:$R$232,7,FALSE)</f>
        <v>6030</v>
      </c>
      <c r="H11" s="130" t="str">
        <f>VLOOKUP(A11:A239,[1]Coefficients!$A$5:$R$232,8,FALSE)</f>
        <v>MARCHIENNE-AU-PONT</v>
      </c>
      <c r="I11" s="130" t="s">
        <v>872</v>
      </c>
      <c r="J11" s="131" t="s">
        <v>871</v>
      </c>
      <c r="K11" s="130" t="s">
        <v>13</v>
      </c>
      <c r="L11" s="130" t="s">
        <v>6</v>
      </c>
      <c r="M11" s="130">
        <v>1</v>
      </c>
      <c r="N11" s="128">
        <v>1</v>
      </c>
      <c r="O11" s="130">
        <v>1</v>
      </c>
      <c r="P11" s="131" t="str">
        <f>VLOOKUP(A11:A238,[1]Coefficients!$A$5:$T$232,19,FALSE)</f>
        <v>22ZFL005913----K</v>
      </c>
      <c r="Q11" s="131"/>
      <c r="R11" s="95"/>
    </row>
    <row r="12" spans="1:18" s="94" customFormat="1" ht="20.25" customHeight="1" x14ac:dyDescent="0.2">
      <c r="A12" s="128" t="s">
        <v>870</v>
      </c>
      <c r="B12" s="129" t="s">
        <v>869</v>
      </c>
      <c r="C12" s="129" t="s">
        <v>868</v>
      </c>
      <c r="D12" s="129" t="s">
        <v>16</v>
      </c>
      <c r="E12" s="128" t="str">
        <f>VLOOKUP(A12:A240,[1]Coefficients!$A$5:$R$232,5,FALSE)</f>
        <v>Scheldelaan  Blok E650</v>
      </c>
      <c r="F12" s="129">
        <f>VLOOKUP(A12:A240,[1]Coefficients!$A$5:$R$232,6,FALSE)</f>
        <v>600</v>
      </c>
      <c r="G12" s="129">
        <f>VLOOKUP(A12:A240,[1]Coefficients!$A$5:$R$232,7,FALSE)</f>
        <v>2040</v>
      </c>
      <c r="H12" s="128" t="str">
        <f>VLOOKUP(A12:A240,[1]Coefficients!$A$5:$R$232,8,FALSE)</f>
        <v>ANTWERPEN</v>
      </c>
      <c r="I12" s="128" t="s">
        <v>867</v>
      </c>
      <c r="J12" s="129" t="s">
        <v>866</v>
      </c>
      <c r="K12" s="128" t="s">
        <v>13</v>
      </c>
      <c r="L12" s="128" t="s">
        <v>6</v>
      </c>
      <c r="M12" s="128">
        <v>1</v>
      </c>
      <c r="N12" s="130">
        <v>0</v>
      </c>
      <c r="O12" s="128">
        <v>0</v>
      </c>
      <c r="P12" s="129" t="str">
        <f>VLOOKUP(A12:A239,[1]Coefficients!$A$5:$T$232,19,FALSE)</f>
        <v>22ZFL007133----F</v>
      </c>
      <c r="Q12" s="129"/>
      <c r="R12" s="95"/>
    </row>
    <row r="13" spans="1:18" s="94" customFormat="1" ht="20.25" customHeight="1" x14ac:dyDescent="0.2">
      <c r="A13" s="130" t="s">
        <v>863</v>
      </c>
      <c r="B13" s="131" t="s">
        <v>865</v>
      </c>
      <c r="C13" s="131" t="s">
        <v>864</v>
      </c>
      <c r="D13" s="131" t="s">
        <v>16</v>
      </c>
      <c r="E13" s="130" t="str">
        <f>VLOOKUP(A13:A241,[1]Coefficients!$A$5:$R$232,5,FALSE)</f>
        <v>Parc Industriel de Ghlin  Zone A</v>
      </c>
      <c r="F13" s="131" t="str">
        <f>VLOOKUP(A13:A241,[1]Coefficients!$A$5:$R$232,6,FALSE)</f>
        <v>z/n</v>
      </c>
      <c r="G13" s="131">
        <f>VLOOKUP(A13:A241,[1]Coefficients!$A$5:$R$232,7,FALSE)</f>
        <v>7011</v>
      </c>
      <c r="H13" s="130" t="str">
        <f>VLOOKUP(A13:A241,[1]Coefficients!$A$5:$R$232,8,FALSE)</f>
        <v>GHLIN</v>
      </c>
      <c r="I13" s="130" t="s">
        <v>863</v>
      </c>
      <c r="J13" s="131" t="s">
        <v>862</v>
      </c>
      <c r="K13" s="130" t="s">
        <v>13</v>
      </c>
      <c r="L13" s="130" t="s">
        <v>6</v>
      </c>
      <c r="M13" s="130">
        <v>1</v>
      </c>
      <c r="N13" s="130">
        <v>0</v>
      </c>
      <c r="O13" s="130">
        <v>0</v>
      </c>
      <c r="P13" s="131" t="str">
        <f>VLOOKUP(A13:A240,[1]Coefficients!$A$5:$T$232,19,FALSE)</f>
        <v>22ZFL004774----Y</v>
      </c>
      <c r="Q13" s="131"/>
      <c r="R13" s="95"/>
    </row>
    <row r="14" spans="1:18" s="94" customFormat="1" ht="20.25" customHeight="1" x14ac:dyDescent="0.2">
      <c r="A14" s="128" t="s">
        <v>375</v>
      </c>
      <c r="B14" s="129" t="s">
        <v>861</v>
      </c>
      <c r="C14" s="129" t="s">
        <v>860</v>
      </c>
      <c r="D14" s="129" t="s">
        <v>16</v>
      </c>
      <c r="E14" s="128" t="str">
        <f>VLOOKUP(A14:A242,[1]Coefficients!$A$5:$R$232,5,FALSE)</f>
        <v>Pleitstraat</v>
      </c>
      <c r="F14" s="129">
        <f>VLOOKUP(A14:A242,[1]Coefficients!$A$5:$R$232,6,FALSE)</f>
        <v>1</v>
      </c>
      <c r="G14" s="129">
        <f>VLOOKUP(A14:A242,[1]Coefficients!$A$5:$R$232,7,FALSE)</f>
        <v>9042</v>
      </c>
      <c r="H14" s="128" t="str">
        <f>VLOOKUP(A14:A242,[1]Coefficients!$A$5:$R$232,8,FALSE)</f>
        <v>GENT</v>
      </c>
      <c r="I14" s="128" t="s">
        <v>375</v>
      </c>
      <c r="J14" s="129" t="s">
        <v>374</v>
      </c>
      <c r="K14" s="128" t="s">
        <v>13</v>
      </c>
      <c r="L14" s="128" t="s">
        <v>6</v>
      </c>
      <c r="M14" s="128">
        <v>1</v>
      </c>
      <c r="N14" s="130">
        <v>0</v>
      </c>
      <c r="O14" s="128">
        <v>0</v>
      </c>
      <c r="P14" s="129" t="str">
        <f>VLOOKUP(A14:A241,[1]Coefficients!$A$5:$T$232,19,FALSE)</f>
        <v>22ZFL005927----Q</v>
      </c>
      <c r="Q14" s="129"/>
      <c r="R14" s="95"/>
    </row>
    <row r="15" spans="1:18" s="94" customFormat="1" ht="20.25" customHeight="1" x14ac:dyDescent="0.2">
      <c r="A15" s="130" t="s">
        <v>857</v>
      </c>
      <c r="B15" s="131" t="s">
        <v>859</v>
      </c>
      <c r="C15" s="131" t="s">
        <v>858</v>
      </c>
      <c r="D15" s="131" t="s">
        <v>16</v>
      </c>
      <c r="E15" s="130" t="str">
        <f>VLOOKUP(A15:A243,[1]Coefficients!$A$5:$R$232,5,FALSE)</f>
        <v>Langerbruggekaai</v>
      </c>
      <c r="F15" s="131">
        <f>VLOOKUP(A15:A243,[1]Coefficients!$A$5:$R$232,6,FALSE)</f>
        <v>37</v>
      </c>
      <c r="G15" s="131">
        <f>VLOOKUP(A15:A243,[1]Coefficients!$A$5:$R$232,7,FALSE)</f>
        <v>9000</v>
      </c>
      <c r="H15" s="130" t="str">
        <f>VLOOKUP(A15:A243,[1]Coefficients!$A$5:$R$232,8,FALSE)</f>
        <v>GENT</v>
      </c>
      <c r="I15" s="130" t="s">
        <v>857</v>
      </c>
      <c r="J15" s="131" t="s">
        <v>856</v>
      </c>
      <c r="K15" s="130" t="s">
        <v>13</v>
      </c>
      <c r="L15" s="130" t="s">
        <v>6</v>
      </c>
      <c r="M15" s="130">
        <v>1</v>
      </c>
      <c r="N15" s="130">
        <v>0</v>
      </c>
      <c r="O15" s="130">
        <v>0</v>
      </c>
      <c r="P15" s="131" t="str">
        <f>VLOOKUP(A15:A242,[1]Coefficients!$A$5:$T$232,19,FALSE)</f>
        <v>22ZFL005956----B</v>
      </c>
      <c r="Q15" s="131"/>
      <c r="R15" s="95"/>
    </row>
    <row r="16" spans="1:18" s="94" customFormat="1" ht="20.25" customHeight="1" x14ac:dyDescent="0.2">
      <c r="A16" s="128" t="s">
        <v>853</v>
      </c>
      <c r="B16" s="129" t="s">
        <v>855</v>
      </c>
      <c r="C16" s="129" t="s">
        <v>854</v>
      </c>
      <c r="D16" s="129" t="s">
        <v>16</v>
      </c>
      <c r="E16" s="128" t="str">
        <f>VLOOKUP(A16:A244,[1]Coefficients!$A$5:$R$232,5,FALSE)</f>
        <v>Nederzwijnaarde</v>
      </c>
      <c r="F16" s="129">
        <f>VLOOKUP(A16:A244,[1]Coefficients!$A$5:$R$232,6,FALSE)</f>
        <v>2</v>
      </c>
      <c r="G16" s="129">
        <f>VLOOKUP(A16:A244,[1]Coefficients!$A$5:$R$232,7,FALSE)</f>
        <v>9052</v>
      </c>
      <c r="H16" s="128" t="str">
        <f>VLOOKUP(A16:A244,[1]Coefficients!$A$5:$R$232,8,FALSE)</f>
        <v>ZWIJNAARDE</v>
      </c>
      <c r="I16" s="128" t="s">
        <v>853</v>
      </c>
      <c r="J16" s="129" t="s">
        <v>852</v>
      </c>
      <c r="K16" s="128" t="s">
        <v>13</v>
      </c>
      <c r="L16" s="128" t="s">
        <v>6</v>
      </c>
      <c r="M16" s="128">
        <v>1</v>
      </c>
      <c r="N16" s="128">
        <v>1</v>
      </c>
      <c r="O16" s="128">
        <v>1</v>
      </c>
      <c r="P16" s="129" t="str">
        <f>VLOOKUP(A16:A243,[1]Coefficients!$A$5:$T$232,19,FALSE)</f>
        <v>22ZFL004737----7</v>
      </c>
      <c r="Q16" s="129"/>
      <c r="R16" s="95"/>
    </row>
    <row r="17" spans="1:18" s="94" customFormat="1" ht="20.25" customHeight="1" x14ac:dyDescent="0.2">
      <c r="A17" s="130" t="s">
        <v>849</v>
      </c>
      <c r="B17" s="131" t="s">
        <v>851</v>
      </c>
      <c r="C17" s="131" t="s">
        <v>850</v>
      </c>
      <c r="D17" s="131" t="s">
        <v>16</v>
      </c>
      <c r="E17" s="130" t="str">
        <f>VLOOKUP(A17:A245,[1]Coefficients!$A$5:$R$232,5,FALSE)</f>
        <v>Ottergemsesteenweg Zuid</v>
      </c>
      <c r="F17" s="131">
        <f>VLOOKUP(A17:A245,[1]Coefficients!$A$5:$R$232,6,FALSE)</f>
        <v>801</v>
      </c>
      <c r="G17" s="131">
        <f>VLOOKUP(A17:A245,[1]Coefficients!$A$5:$R$232,7,FALSE)</f>
        <v>9000</v>
      </c>
      <c r="H17" s="130" t="str">
        <f>VLOOKUP(A17:A245,[1]Coefficients!$A$5:$R$232,8,FALSE)</f>
        <v>GENT</v>
      </c>
      <c r="I17" s="130" t="s">
        <v>849</v>
      </c>
      <c r="J17" s="131" t="s">
        <v>848</v>
      </c>
      <c r="K17" s="130" t="s">
        <v>13</v>
      </c>
      <c r="L17" s="130" t="s">
        <v>6</v>
      </c>
      <c r="M17" s="130">
        <v>1</v>
      </c>
      <c r="N17" s="128">
        <v>1</v>
      </c>
      <c r="O17" s="130">
        <v>1</v>
      </c>
      <c r="P17" s="131" t="str">
        <f>VLOOKUP(A17:A244,[1]Coefficients!$A$5:$T$232,19,FALSE)</f>
        <v>22ZFL004736----D</v>
      </c>
      <c r="Q17" s="131"/>
      <c r="R17" s="95"/>
    </row>
    <row r="18" spans="1:18" s="94" customFormat="1" ht="20.25" customHeight="1" x14ac:dyDescent="0.2">
      <c r="A18" s="128" t="s">
        <v>845</v>
      </c>
      <c r="B18" s="129" t="s">
        <v>847</v>
      </c>
      <c r="C18" s="129" t="s">
        <v>846</v>
      </c>
      <c r="D18" s="129" t="s">
        <v>16</v>
      </c>
      <c r="E18" s="128" t="str">
        <f>VLOOKUP(A18:A246,[1]Coefficients!$A$5:$R$232,5,FALSE)</f>
        <v>Rue d'Ampacet</v>
      </c>
      <c r="F18" s="129">
        <f>VLOOKUP(A18:A246,[1]Coefficients!$A$5:$R$232,6,FALSE)</f>
        <v>1</v>
      </c>
      <c r="G18" s="129">
        <f>VLOOKUP(A18:A246,[1]Coefficients!$A$5:$R$232,7,FALSE)</f>
        <v>6780</v>
      </c>
      <c r="H18" s="128" t="str">
        <f>VLOOKUP(A18:A246,[1]Coefficients!$A$5:$R$232,8,FALSE)</f>
        <v>MESSANCY</v>
      </c>
      <c r="I18" s="128" t="s">
        <v>845</v>
      </c>
      <c r="J18" s="129" t="s">
        <v>844</v>
      </c>
      <c r="K18" s="128" t="s">
        <v>13</v>
      </c>
      <c r="L18" s="128" t="s">
        <v>6</v>
      </c>
      <c r="M18" s="128">
        <v>1</v>
      </c>
      <c r="N18" s="130">
        <v>0</v>
      </c>
      <c r="O18" s="128">
        <v>0</v>
      </c>
      <c r="P18" s="129" t="str">
        <f>VLOOKUP(A18:A245,[1]Coefficients!$A$5:$T$232,19,FALSE)</f>
        <v>22ZFL875430----H</v>
      </c>
      <c r="Q18" s="129"/>
      <c r="R18" s="95"/>
    </row>
    <row r="19" spans="1:18" s="94" customFormat="1" ht="20.25" customHeight="1" x14ac:dyDescent="0.2">
      <c r="A19" s="130" t="s">
        <v>843</v>
      </c>
      <c r="B19" s="131" t="s">
        <v>842</v>
      </c>
      <c r="C19" s="131" t="s">
        <v>841</v>
      </c>
      <c r="D19" s="131" t="s">
        <v>16</v>
      </c>
      <c r="E19" s="130" t="str">
        <f>VLOOKUP(A19:A247,[1]Coefficients!$A$5:$R$232,5,FALSE)</f>
        <v>rue des Ateliers</v>
      </c>
      <c r="F19" s="131">
        <f>VLOOKUP(A19:A247,[1]Coefficients!$A$5:$R$232,6,FALSE)</f>
        <v>14</v>
      </c>
      <c r="G19" s="131">
        <f>VLOOKUP(A19:A247,[1]Coefficients!$A$5:$R$232,7,FALSE)</f>
        <v>6200</v>
      </c>
      <c r="H19" s="130" t="str">
        <f>VLOOKUP(A19:A247,[1]Coefficients!$A$5:$R$232,8,FALSE)</f>
        <v>CHÂTELET</v>
      </c>
      <c r="I19" s="130" t="s">
        <v>840</v>
      </c>
      <c r="J19" s="131" t="s">
        <v>839</v>
      </c>
      <c r="K19" s="130" t="s">
        <v>13</v>
      </c>
      <c r="L19" s="130" t="s">
        <v>6</v>
      </c>
      <c r="M19" s="130">
        <v>1</v>
      </c>
      <c r="N19" s="128">
        <v>1</v>
      </c>
      <c r="O19" s="130">
        <v>1</v>
      </c>
      <c r="P19" s="131" t="str">
        <f>VLOOKUP(A19:A246,[1]Coefficients!$A$5:$T$232,19,FALSE)</f>
        <v>22ZFL004871----7</v>
      </c>
      <c r="Q19" s="131"/>
      <c r="R19" s="95"/>
    </row>
    <row r="20" spans="1:18" s="94" customFormat="1" ht="20.25" customHeight="1" x14ac:dyDescent="0.2">
      <c r="A20" s="128" t="s">
        <v>836</v>
      </c>
      <c r="B20" s="129" t="s">
        <v>838</v>
      </c>
      <c r="C20" s="129" t="s">
        <v>837</v>
      </c>
      <c r="D20" s="129" t="s">
        <v>16</v>
      </c>
      <c r="E20" s="128" t="str">
        <f>VLOOKUP(A20:A248,[1]Coefficients!$A$5:$R$232,5,FALSE)</f>
        <v>Swinnenwijerstraat (Genk-Zuid Zone 6A)</v>
      </c>
      <c r="F20" s="129">
        <f>VLOOKUP(A20:A248,[1]Coefficients!$A$5:$R$232,6,FALSE)</f>
        <v>5</v>
      </c>
      <c r="G20" s="129">
        <f>VLOOKUP(A20:A248,[1]Coefficients!$A$5:$R$232,7,FALSE)</f>
        <v>3600</v>
      </c>
      <c r="H20" s="128" t="str">
        <f>VLOOKUP(A20:A248,[1]Coefficients!$A$5:$R$232,8,FALSE)</f>
        <v>GENK</v>
      </c>
      <c r="I20" s="128" t="s">
        <v>836</v>
      </c>
      <c r="J20" s="129" t="s">
        <v>835</v>
      </c>
      <c r="K20" s="128" t="s">
        <v>13</v>
      </c>
      <c r="L20" s="128" t="s">
        <v>6</v>
      </c>
      <c r="M20" s="128">
        <v>1</v>
      </c>
      <c r="N20" s="130">
        <v>0</v>
      </c>
      <c r="O20" s="128">
        <v>0</v>
      </c>
      <c r="P20" s="129" t="str">
        <f>VLOOKUP(A20:A247,[1]Coefficients!$A$5:$T$232,19,FALSE)</f>
        <v>22ZFL004703----F</v>
      </c>
      <c r="Q20" s="129"/>
      <c r="R20" s="95"/>
    </row>
    <row r="21" spans="1:18" s="94" customFormat="1" ht="20.25" customHeight="1" x14ac:dyDescent="0.2">
      <c r="A21" s="130" t="s">
        <v>832</v>
      </c>
      <c r="B21" s="131" t="s">
        <v>834</v>
      </c>
      <c r="C21" s="131" t="s">
        <v>833</v>
      </c>
      <c r="D21" s="131" t="s">
        <v>16</v>
      </c>
      <c r="E21" s="130" t="str">
        <f>VLOOKUP(A21:A249,[1]Coefficients!$A$5:$R$232,5,FALSE)</f>
        <v>Kanaaloever</v>
      </c>
      <c r="F21" s="131">
        <f>VLOOKUP(A21:A249,[1]Coefficients!$A$5:$R$232,6,FALSE)</f>
        <v>3</v>
      </c>
      <c r="G21" s="131">
        <f>VLOOKUP(A21:A249,[1]Coefficients!$A$5:$R$232,7,FALSE)</f>
        <v>3600</v>
      </c>
      <c r="H21" s="130" t="str">
        <f>VLOOKUP(A21:A249,[1]Coefficients!$A$5:$R$232,8,FALSE)</f>
        <v>GENK</v>
      </c>
      <c r="I21" s="130" t="s">
        <v>832</v>
      </c>
      <c r="J21" s="131" t="s">
        <v>831</v>
      </c>
      <c r="K21" s="130" t="s">
        <v>13</v>
      </c>
      <c r="L21" s="130" t="s">
        <v>6</v>
      </c>
      <c r="M21" s="130">
        <v>1</v>
      </c>
      <c r="N21" s="130">
        <v>0</v>
      </c>
      <c r="O21" s="130">
        <v>0</v>
      </c>
      <c r="P21" s="131" t="str">
        <f>VLOOKUP(A21:A248,[1]Coefficients!$A$5:$T$232,19,FALSE)</f>
        <v>22ZFL150690----R</v>
      </c>
      <c r="Q21" s="131"/>
      <c r="R21" s="95"/>
    </row>
    <row r="22" spans="1:18" s="94" customFormat="1" ht="20.25" customHeight="1" x14ac:dyDescent="0.2">
      <c r="A22" s="128" t="s">
        <v>829</v>
      </c>
      <c r="B22" s="129" t="s">
        <v>1031</v>
      </c>
      <c r="C22" s="129" t="s">
        <v>830</v>
      </c>
      <c r="D22" s="129" t="s">
        <v>16</v>
      </c>
      <c r="E22" s="128" t="str">
        <f>VLOOKUP(A22:A250,[1]Coefficients!$A$5:$R$232,5,FALSE)</f>
        <v>Pres. J.F. Kennedylaan</v>
      </c>
      <c r="F22" s="129">
        <f>VLOOKUP(A22:A250,[1]Coefficients!$A$5:$R$232,6,FALSE)</f>
        <v>51</v>
      </c>
      <c r="G22" s="129">
        <f>VLOOKUP(A22:A250,[1]Coefficients!$A$5:$R$232,7,FALSE)</f>
        <v>9042</v>
      </c>
      <c r="H22" s="128" t="str">
        <f>VLOOKUP(A22:A250,[1]Coefficients!$A$5:$R$232,8,FALSE)</f>
        <v>GENT</v>
      </c>
      <c r="I22" s="128" t="s">
        <v>829</v>
      </c>
      <c r="J22" s="129" t="s">
        <v>828</v>
      </c>
      <c r="K22" s="128" t="s">
        <v>13</v>
      </c>
      <c r="L22" s="128" t="s">
        <v>6</v>
      </c>
      <c r="M22" s="128">
        <v>1</v>
      </c>
      <c r="N22" s="130">
        <v>0</v>
      </c>
      <c r="O22" s="128">
        <v>0</v>
      </c>
      <c r="P22" s="129" t="str">
        <f>VLOOKUP(A22:A249,[1]Coefficients!$A$5:$T$232,19,FALSE)</f>
        <v>22ZFL004738----1</v>
      </c>
      <c r="Q22" s="129"/>
      <c r="R22" s="95"/>
    </row>
    <row r="23" spans="1:18" s="94" customFormat="1" ht="20.25" customHeight="1" x14ac:dyDescent="0.2">
      <c r="A23" s="130" t="s">
        <v>825</v>
      </c>
      <c r="B23" s="131" t="s">
        <v>827</v>
      </c>
      <c r="C23" s="131" t="s">
        <v>826</v>
      </c>
      <c r="D23" s="131" t="s">
        <v>16</v>
      </c>
      <c r="E23" s="130" t="str">
        <f>VLOOKUP(A23:A251,[1]Coefficients!$A$5:$R$232,5,FALSE)</f>
        <v>Quai du Halage</v>
      </c>
      <c r="F23" s="131">
        <f>VLOOKUP(A23:A251,[1]Coefficients!$A$5:$R$232,6,FALSE)</f>
        <v>10</v>
      </c>
      <c r="G23" s="131">
        <f>VLOOKUP(A23:A251,[1]Coefficients!$A$5:$R$232,7,FALSE)</f>
        <v>4400</v>
      </c>
      <c r="H23" s="130" t="str">
        <f>VLOOKUP(A23:A251,[1]Coefficients!$A$5:$R$232,8,FALSE)</f>
        <v>FLEMALLE</v>
      </c>
      <c r="I23" s="130" t="s">
        <v>825</v>
      </c>
      <c r="J23" s="131" t="s">
        <v>824</v>
      </c>
      <c r="K23" s="130" t="s">
        <v>13</v>
      </c>
      <c r="L23" s="130" t="s">
        <v>6</v>
      </c>
      <c r="M23" s="130">
        <v>1</v>
      </c>
      <c r="N23" s="128">
        <v>1</v>
      </c>
      <c r="O23" s="130">
        <v>1</v>
      </c>
      <c r="P23" s="131" t="str">
        <f>VLOOKUP(A23:A250,[1]Coefficients!$A$5:$T$232,19,FALSE)</f>
        <v>22ZFL004882----V</v>
      </c>
      <c r="Q23" s="131"/>
      <c r="R23" s="95"/>
    </row>
    <row r="24" spans="1:18" s="94" customFormat="1" ht="20.25" customHeight="1" x14ac:dyDescent="0.2">
      <c r="A24" s="128" t="s">
        <v>823</v>
      </c>
      <c r="B24" s="129" t="s">
        <v>822</v>
      </c>
      <c r="C24" s="129" t="s">
        <v>821</v>
      </c>
      <c r="D24" s="129" t="s">
        <v>16</v>
      </c>
      <c r="E24" s="128" t="str">
        <f>VLOOKUP(A24:A252,[1]Coefficients!$A$5:$R$232,5,FALSE)</f>
        <v>Rue de la Boverie</v>
      </c>
      <c r="F24" s="129">
        <f>VLOOKUP(A24:A252,[1]Coefficients!$A$5:$R$232,6,FALSE)</f>
        <v>5</v>
      </c>
      <c r="G24" s="129">
        <f>VLOOKUP(A24:A252,[1]Coefficients!$A$5:$R$232,7,FALSE)</f>
        <v>4100</v>
      </c>
      <c r="H24" s="128" t="str">
        <f>VLOOKUP(A24:A252,[1]Coefficients!$A$5:$R$232,8,FALSE)</f>
        <v>SERAING</v>
      </c>
      <c r="I24" s="128" t="s">
        <v>820</v>
      </c>
      <c r="J24" s="129" t="s">
        <v>819</v>
      </c>
      <c r="K24" s="128" t="s">
        <v>13</v>
      </c>
      <c r="L24" s="128" t="s">
        <v>6</v>
      </c>
      <c r="M24" s="128">
        <v>1</v>
      </c>
      <c r="N24" s="128">
        <v>1</v>
      </c>
      <c r="O24" s="128">
        <v>1</v>
      </c>
      <c r="P24" s="129" t="str">
        <f>VLOOKUP(A24:A251,[1]Coefficients!$A$5:$T$232,19,FALSE)</f>
        <v>22ZFL004883----P</v>
      </c>
      <c r="Q24" s="129"/>
      <c r="R24" s="95"/>
    </row>
    <row r="25" spans="1:18" s="94" customFormat="1" ht="20.25" customHeight="1" x14ac:dyDescent="0.2">
      <c r="A25" s="130" t="s">
        <v>816</v>
      </c>
      <c r="B25" s="131" t="s">
        <v>818</v>
      </c>
      <c r="C25" s="131" t="s">
        <v>817</v>
      </c>
      <c r="D25" s="131" t="s">
        <v>16</v>
      </c>
      <c r="E25" s="130" t="str">
        <f>VLOOKUP(A25:A253,[1]Coefficients!$A$5:$R$232,5,FALSE)</f>
        <v>Quai du halage</v>
      </c>
      <c r="F25" s="131" t="str">
        <f>VLOOKUP(A25:A253,[1]Coefficients!$A$5:$R$232,6,FALSE)</f>
        <v>/</v>
      </c>
      <c r="G25" s="131">
        <f>VLOOKUP(A25:A253,[1]Coefficients!$A$5:$R$232,7,FALSE)</f>
        <v>4400</v>
      </c>
      <c r="H25" s="130" t="str">
        <f>VLOOKUP(A25:A253,[1]Coefficients!$A$5:$R$232,8,FALSE)</f>
        <v>FLEMALLE</v>
      </c>
      <c r="I25" s="130" t="s">
        <v>816</v>
      </c>
      <c r="J25" s="131" t="s">
        <v>815</v>
      </c>
      <c r="K25" s="130" t="s">
        <v>13</v>
      </c>
      <c r="L25" s="130" t="s">
        <v>6</v>
      </c>
      <c r="M25" s="130">
        <v>1</v>
      </c>
      <c r="N25" s="128">
        <v>1</v>
      </c>
      <c r="O25" s="130">
        <v>1</v>
      </c>
      <c r="P25" s="131" t="str">
        <f>VLOOKUP(A25:A252,[1]Coefficients!$A$5:$T$232,19,FALSE)</f>
        <v>22ZFL004879----X</v>
      </c>
      <c r="Q25" s="131"/>
      <c r="R25" s="95"/>
    </row>
    <row r="26" spans="1:18" s="94" customFormat="1" ht="20.25" customHeight="1" x14ac:dyDescent="0.2">
      <c r="A26" s="128" t="s">
        <v>814</v>
      </c>
      <c r="B26" s="129" t="s">
        <v>813</v>
      </c>
      <c r="C26" s="129" t="s">
        <v>812</v>
      </c>
      <c r="D26" s="129" t="s">
        <v>16</v>
      </c>
      <c r="E26" s="128" t="str">
        <f>VLOOKUP(A26:A254,[1]Coefficients!$A$5:$R$232,5,FALSE)</f>
        <v>Rue de la Boverie</v>
      </c>
      <c r="F26" s="129">
        <f>VLOOKUP(A26:A254,[1]Coefficients!$A$5:$R$232,6,FALSE)</f>
        <v>5</v>
      </c>
      <c r="G26" s="129">
        <f>VLOOKUP(A26:A254,[1]Coefficients!$A$5:$R$232,7,FALSE)</f>
        <v>4100</v>
      </c>
      <c r="H26" s="128" t="str">
        <f>VLOOKUP(A26:A254,[1]Coefficients!$A$5:$R$232,8,FALSE)</f>
        <v>SERAING</v>
      </c>
      <c r="I26" s="128" t="s">
        <v>811</v>
      </c>
      <c r="J26" s="129" t="s">
        <v>810</v>
      </c>
      <c r="K26" s="128" t="s">
        <v>13</v>
      </c>
      <c r="L26" s="128" t="s">
        <v>6</v>
      </c>
      <c r="M26" s="128">
        <v>1</v>
      </c>
      <c r="N26" s="128">
        <v>1</v>
      </c>
      <c r="O26" s="128">
        <v>1</v>
      </c>
      <c r="P26" s="129" t="str">
        <f>VLOOKUP(A26:A253,[1]Coefficients!$A$5:$T$232,19,FALSE)</f>
        <v>22ZFL005619----8</v>
      </c>
      <c r="Q26" s="129"/>
      <c r="R26" s="95"/>
    </row>
    <row r="27" spans="1:18" s="94" customFormat="1" ht="20.25" customHeight="1" x14ac:dyDescent="0.2">
      <c r="A27" s="130" t="s">
        <v>807</v>
      </c>
      <c r="B27" s="131" t="s">
        <v>809</v>
      </c>
      <c r="C27" s="131" t="s">
        <v>808</v>
      </c>
      <c r="D27" s="131" t="s">
        <v>16</v>
      </c>
      <c r="E27" s="130" t="str">
        <f>VLOOKUP(A27:A255,[1]Coefficients!$A$5:$R$232,5,FALSE)</f>
        <v>Haven 1009 - Canadastraat</v>
      </c>
      <c r="F27" s="131">
        <f>VLOOKUP(A27:A255,[1]Coefficients!$A$5:$R$232,6,FALSE)</f>
        <v>21</v>
      </c>
      <c r="G27" s="131">
        <f>VLOOKUP(A27:A255,[1]Coefficients!$A$5:$R$232,7,FALSE)</f>
        <v>2070</v>
      </c>
      <c r="H27" s="130" t="str">
        <f>VLOOKUP(A27:A255,[1]Coefficients!$A$5:$R$232,8,FALSE)</f>
        <v>ZWIJNDRECHT</v>
      </c>
      <c r="I27" s="130" t="s">
        <v>807</v>
      </c>
      <c r="J27" s="131" t="s">
        <v>806</v>
      </c>
      <c r="K27" s="130" t="s">
        <v>13</v>
      </c>
      <c r="L27" s="130" t="s">
        <v>6</v>
      </c>
      <c r="M27" s="130">
        <v>1</v>
      </c>
      <c r="N27" s="130">
        <v>0</v>
      </c>
      <c r="O27" s="130">
        <v>0</v>
      </c>
      <c r="P27" s="131" t="str">
        <f>VLOOKUP(A27:A254,[1]Coefficients!$A$5:$T$232,19,FALSE)</f>
        <v>22ZFL004715----X</v>
      </c>
      <c r="Q27" s="131"/>
      <c r="R27" s="95"/>
    </row>
    <row r="28" spans="1:18" s="94" customFormat="1" ht="20.25" customHeight="1" x14ac:dyDescent="0.2">
      <c r="A28" s="128" t="s">
        <v>803</v>
      </c>
      <c r="B28" s="129" t="s">
        <v>805</v>
      </c>
      <c r="C28" s="129" t="s">
        <v>804</v>
      </c>
      <c r="D28" s="129" t="s">
        <v>16</v>
      </c>
      <c r="E28" s="128" t="str">
        <f>VLOOKUP(A28:A256,[1]Coefficients!$A$5:$R$232,5,FALSE)</f>
        <v>Haven 1920 - Geslecht</v>
      </c>
      <c r="F28" s="129">
        <f>VLOOKUP(A28:A256,[1]Coefficients!$A$5:$R$232,6,FALSE)</f>
        <v>2</v>
      </c>
      <c r="G28" s="129">
        <f>VLOOKUP(A28:A256,[1]Coefficients!$A$5:$R$232,7,FALSE)</f>
        <v>9130</v>
      </c>
      <c r="H28" s="128" t="str">
        <f>VLOOKUP(A28:A256,[1]Coefficients!$A$5:$R$232,8,FALSE)</f>
        <v>DOEL</v>
      </c>
      <c r="I28" s="128" t="s">
        <v>803</v>
      </c>
      <c r="J28" s="129" t="s">
        <v>802</v>
      </c>
      <c r="K28" s="128" t="s">
        <v>13</v>
      </c>
      <c r="L28" s="128" t="s">
        <v>6</v>
      </c>
      <c r="M28" s="128">
        <v>1</v>
      </c>
      <c r="N28" s="130">
        <v>0</v>
      </c>
      <c r="O28" s="128">
        <v>0</v>
      </c>
      <c r="P28" s="129" t="str">
        <f>VLOOKUP(A28:A255,[1]Coefficients!$A$5:$T$232,19,FALSE)</f>
        <v>22ZFL004717----L</v>
      </c>
      <c r="Q28" s="129"/>
      <c r="R28" s="95"/>
    </row>
    <row r="29" spans="1:18" s="94" customFormat="1" ht="20.25" customHeight="1" x14ac:dyDescent="0.2">
      <c r="A29" s="130" t="s">
        <v>801</v>
      </c>
      <c r="B29" s="131" t="s">
        <v>800</v>
      </c>
      <c r="C29" s="131" t="s">
        <v>799</v>
      </c>
      <c r="D29" s="131" t="s">
        <v>16</v>
      </c>
      <c r="E29" s="130" t="str">
        <f>VLOOKUP(A29:A257,[1]Coefficients!$A$5:$R$232,5,FALSE)</f>
        <v>Haven 279  Beliweg</v>
      </c>
      <c r="F29" s="131">
        <f>VLOOKUP(A29:A257,[1]Coefficients!$A$5:$R$232,6,FALSE)</f>
        <v>20</v>
      </c>
      <c r="G29" s="131">
        <f>VLOOKUP(A29:A257,[1]Coefficients!$A$5:$R$232,7,FALSE)</f>
        <v>2030</v>
      </c>
      <c r="H29" s="130" t="str">
        <f>VLOOKUP(A29:A257,[1]Coefficients!$A$5:$R$232,8,FALSE)</f>
        <v>ANTWERPEN 3</v>
      </c>
      <c r="I29" s="130" t="s">
        <v>798</v>
      </c>
      <c r="J29" s="131" t="s">
        <v>797</v>
      </c>
      <c r="K29" s="130" t="s">
        <v>13</v>
      </c>
      <c r="L29" s="130" t="s">
        <v>6</v>
      </c>
      <c r="M29" s="130">
        <v>1</v>
      </c>
      <c r="N29" s="130">
        <v>0</v>
      </c>
      <c r="O29" s="130">
        <v>0</v>
      </c>
      <c r="P29" s="131" t="str">
        <f>VLOOKUP(A29:A256,[1]Coefficients!$A$5:$T$232,19,FALSE)</f>
        <v>22ZFL212210----F</v>
      </c>
      <c r="Q29" s="131" t="str">
        <f>VLOOKUP(A29:A256,[1]Coefficients!$A$5:$T$232,20,FALSE)</f>
        <v>01/06/2018 - Done</v>
      </c>
      <c r="R29" s="95"/>
    </row>
    <row r="30" spans="1:18" s="94" customFormat="1" ht="20.25" customHeight="1" x14ac:dyDescent="0.2">
      <c r="A30" s="128" t="s">
        <v>794</v>
      </c>
      <c r="B30" s="129" t="s">
        <v>796</v>
      </c>
      <c r="C30" s="129" t="s">
        <v>795</v>
      </c>
      <c r="D30" s="129" t="s">
        <v>16</v>
      </c>
      <c r="E30" s="128" t="str">
        <f>VLOOKUP(A30:A258,[1]Coefficients!$A$5:$R$232,5,FALSE)</f>
        <v>Haven 725 - Scheldelaan</v>
      </c>
      <c r="F30" s="129" t="str">
        <f>VLOOKUP(A30:A258,[1]Coefficients!$A$5:$R$232,6,FALSE)</f>
        <v>600</v>
      </c>
      <c r="G30" s="129">
        <f>VLOOKUP(A30:A258,[1]Coefficients!$A$5:$R$232,7,FALSE)</f>
        <v>2040</v>
      </c>
      <c r="H30" s="128" t="str">
        <f>VLOOKUP(A30:A258,[1]Coefficients!$A$5:$R$232,8,FALSE)</f>
        <v>ANTWERPEN 4</v>
      </c>
      <c r="I30" s="128" t="s">
        <v>794</v>
      </c>
      <c r="J30" s="129" t="s">
        <v>793</v>
      </c>
      <c r="K30" s="128" t="s">
        <v>13</v>
      </c>
      <c r="L30" s="128" t="s">
        <v>6</v>
      </c>
      <c r="M30" s="128">
        <v>1</v>
      </c>
      <c r="N30" s="130">
        <v>0</v>
      </c>
      <c r="O30" s="128">
        <v>0</v>
      </c>
      <c r="P30" s="129" t="str">
        <f>VLOOKUP(A30:A257,[1]Coefficients!$A$5:$T$232,19,FALSE)</f>
        <v>57ZFL007297----3</v>
      </c>
      <c r="Q30" s="129"/>
      <c r="R30" s="95"/>
    </row>
    <row r="31" spans="1:18" s="94" customFormat="1" ht="20.25" customHeight="1" x14ac:dyDescent="0.2">
      <c r="A31" s="130" t="s">
        <v>790</v>
      </c>
      <c r="B31" s="131" t="s">
        <v>792</v>
      </c>
      <c r="C31" s="131" t="s">
        <v>791</v>
      </c>
      <c r="D31" s="131" t="s">
        <v>16</v>
      </c>
      <c r="E31" s="130" t="str">
        <f>VLOOKUP(A31:A259,[1]Coefficients!$A$5:$R$232,5,FALSE)</f>
        <v>Haven 725 - Scheldelaan</v>
      </c>
      <c r="F31" s="131">
        <f>VLOOKUP(A31:A259,[1]Coefficients!$A$5:$R$232,6,FALSE)</f>
        <v>600</v>
      </c>
      <c r="G31" s="131">
        <f>VLOOKUP(A31:A259,[1]Coefficients!$A$5:$R$232,7,FALSE)</f>
        <v>2040</v>
      </c>
      <c r="H31" s="130" t="str">
        <f>VLOOKUP(A31:A259,[1]Coefficients!$A$5:$R$232,8,FALSE)</f>
        <v>ANTWERPEN 4</v>
      </c>
      <c r="I31" s="130" t="s">
        <v>790</v>
      </c>
      <c r="J31" s="131" t="s">
        <v>789</v>
      </c>
      <c r="K31" s="130" t="s">
        <v>13</v>
      </c>
      <c r="L31" s="130" t="s">
        <v>6</v>
      </c>
      <c r="M31" s="130">
        <v>1</v>
      </c>
      <c r="N31" s="130">
        <v>0</v>
      </c>
      <c r="O31" s="130">
        <v>0</v>
      </c>
      <c r="P31" s="131" t="str">
        <f>VLOOKUP(A31:A258,[1]Coefficients!$A$5:$T$232,19,FALSE)</f>
        <v>22ZFL004713----8</v>
      </c>
      <c r="Q31" s="131"/>
      <c r="R31" s="95"/>
    </row>
    <row r="32" spans="1:18" s="94" customFormat="1" ht="20.25" customHeight="1" x14ac:dyDescent="0.2">
      <c r="A32" s="128" t="s">
        <v>786</v>
      </c>
      <c r="B32" s="129" t="s">
        <v>788</v>
      </c>
      <c r="C32" s="129" t="s">
        <v>787</v>
      </c>
      <c r="D32" s="129" t="s">
        <v>16</v>
      </c>
      <c r="E32" s="128" t="str">
        <f>VLOOKUP(A32:A260,[1]Coefficients!$A$5:$R$232,5,FALSE)</f>
        <v>Boulevard René Branquart</v>
      </c>
      <c r="F32" s="129">
        <f>VLOOKUP(A32:A260,[1]Coefficients!$A$5:$R$232,6,FALSE)</f>
        <v>80</v>
      </c>
      <c r="G32" s="129">
        <f>VLOOKUP(A32:A260,[1]Coefficients!$A$5:$R$232,7,FALSE)</f>
        <v>7860</v>
      </c>
      <c r="H32" s="128" t="str">
        <f>VLOOKUP(A32:A260,[1]Coefficients!$A$5:$R$232,8,FALSE)</f>
        <v>LESSINES</v>
      </c>
      <c r="I32" s="128" t="s">
        <v>786</v>
      </c>
      <c r="J32" s="129" t="s">
        <v>785</v>
      </c>
      <c r="K32" s="128" t="s">
        <v>13</v>
      </c>
      <c r="L32" s="128" t="s">
        <v>6</v>
      </c>
      <c r="M32" s="128">
        <v>1</v>
      </c>
      <c r="N32" s="130">
        <v>0</v>
      </c>
      <c r="O32" s="128">
        <v>0</v>
      </c>
      <c r="P32" s="129" t="str">
        <f>VLOOKUP(A32:A259,[1]Coefficients!$A$5:$T$232,19,FALSE)</f>
        <v>22ZFL006024----X</v>
      </c>
      <c r="Q32" s="129"/>
      <c r="R32" s="95"/>
    </row>
    <row r="33" spans="1:18" s="94" customFormat="1" ht="20.25" customHeight="1" x14ac:dyDescent="0.2">
      <c r="A33" s="130" t="s">
        <v>1032</v>
      </c>
      <c r="B33" s="131" t="s">
        <v>1033</v>
      </c>
      <c r="C33" s="131" t="s">
        <v>1034</v>
      </c>
      <c r="D33" s="131" t="s">
        <v>16</v>
      </c>
      <c r="E33" s="130" t="str">
        <f>VLOOKUP(A33:A261,[1]Coefficients!$A$5:$R$232,5,FALSE)</f>
        <v>Haven 7120C - Christoffel Columbuslaan</v>
      </c>
      <c r="F33" s="131" t="str">
        <f>VLOOKUP(A33:A261,[1]Coefficients!$A$5:$R$232,6,FALSE)</f>
        <v>/</v>
      </c>
      <c r="G33" s="131">
        <f>VLOOKUP(A33:A261,[1]Coefficients!$A$5:$R$232,7,FALSE)</f>
        <v>9042</v>
      </c>
      <c r="H33" s="130" t="str">
        <f>VLOOKUP(A33:A261,[1]Coefficients!$A$5:$R$232,8,FALSE)</f>
        <v>GENT</v>
      </c>
      <c r="I33" s="130" t="s">
        <v>1032</v>
      </c>
      <c r="J33" s="131" t="s">
        <v>1035</v>
      </c>
      <c r="K33" s="130" t="s">
        <v>13</v>
      </c>
      <c r="L33" s="130" t="s">
        <v>6</v>
      </c>
      <c r="M33" s="130">
        <v>1</v>
      </c>
      <c r="N33" s="130">
        <v>0</v>
      </c>
      <c r="O33" s="130">
        <v>0</v>
      </c>
      <c r="P33" s="131" t="str">
        <f>VLOOKUP(A33:A260,[1]Coefficients!$A$5:$T$232,19,FALSE)</f>
        <v>57ZFL007300----Q</v>
      </c>
      <c r="Q33" s="131"/>
      <c r="R33" s="95"/>
    </row>
    <row r="34" spans="1:18" s="94" customFormat="1" ht="20.25" customHeight="1" x14ac:dyDescent="0.2">
      <c r="A34" s="128" t="s">
        <v>782</v>
      </c>
      <c r="B34" s="129" t="s">
        <v>784</v>
      </c>
      <c r="C34" s="129" t="s">
        <v>783</v>
      </c>
      <c r="D34" s="129" t="s">
        <v>16</v>
      </c>
      <c r="E34" s="128" t="str">
        <f>VLOOKUP(A34:A262,[1]Coefficients!$A$5:$R$232,5,FALSE)</f>
        <v>Chaussée de Charleroi</v>
      </c>
      <c r="F34" s="129">
        <f>VLOOKUP(A34:A262,[1]Coefficients!$A$5:$R$232,6,FALSE)</f>
        <v>40</v>
      </c>
      <c r="G34" s="129">
        <f>VLOOKUP(A34:A262,[1]Coefficients!$A$5:$R$232,7,FALSE)</f>
        <v>5030</v>
      </c>
      <c r="H34" s="128" t="str">
        <f>VLOOKUP(A34:A262,[1]Coefficients!$A$5:$R$232,8,FALSE)</f>
        <v>GEMBLOUX</v>
      </c>
      <c r="I34" s="128" t="s">
        <v>782</v>
      </c>
      <c r="J34" s="129" t="s">
        <v>781</v>
      </c>
      <c r="K34" s="128" t="s">
        <v>13</v>
      </c>
      <c r="L34" s="128" t="s">
        <v>19</v>
      </c>
      <c r="M34" s="128">
        <v>1</v>
      </c>
      <c r="N34" s="128">
        <v>1</v>
      </c>
      <c r="O34" s="128">
        <v>1</v>
      </c>
      <c r="P34" s="129" t="str">
        <f>VLOOKUP(A34:A261,[1]Coefficients!$A$5:$T$232,19,FALSE)</f>
        <v>22ZFL513210----A</v>
      </c>
      <c r="Q34" s="132">
        <v>43617</v>
      </c>
      <c r="R34" s="95"/>
    </row>
    <row r="35" spans="1:18" s="94" customFormat="1" ht="20.25" customHeight="1" x14ac:dyDescent="0.2">
      <c r="A35" s="130" t="s">
        <v>778</v>
      </c>
      <c r="B35" s="131" t="s">
        <v>780</v>
      </c>
      <c r="C35" s="131" t="s">
        <v>779</v>
      </c>
      <c r="D35" s="131" t="s">
        <v>16</v>
      </c>
      <c r="E35" s="130" t="str">
        <f>VLOOKUP(A35:A263,[1]Coefficients!$A$5:$R$232,5,FALSE)</f>
        <v xml:space="preserve">Melkerijstraat </v>
      </c>
      <c r="F35" s="131">
        <f>VLOOKUP(A35:A263,[1]Coefficients!$A$5:$R$232,6,FALSE)</f>
        <v>10</v>
      </c>
      <c r="G35" s="131">
        <f>VLOOKUP(A35:A263,[1]Coefficients!$A$5:$R$232,7,FALSE)</f>
        <v>8920</v>
      </c>
      <c r="H35" s="130" t="str">
        <f>VLOOKUP(A35:A263,[1]Coefficients!$A$5:$R$232,8,FALSE)</f>
        <v>LANGEMARK</v>
      </c>
      <c r="I35" s="130" t="s">
        <v>778</v>
      </c>
      <c r="J35" s="131" t="s">
        <v>777</v>
      </c>
      <c r="K35" s="130" t="s">
        <v>13</v>
      </c>
      <c r="L35" s="130" t="s">
        <v>6</v>
      </c>
      <c r="M35" s="130">
        <v>1</v>
      </c>
      <c r="N35" s="130">
        <v>0</v>
      </c>
      <c r="O35" s="130">
        <v>0</v>
      </c>
      <c r="P35" s="131" t="str">
        <f>VLOOKUP(A35:A262,[1]Coefficients!$A$5:$T$232,19,FALSE)</f>
        <v>57ZFL007175----0</v>
      </c>
      <c r="Q35" s="131"/>
      <c r="R35" s="95"/>
    </row>
    <row r="36" spans="1:18" s="94" customFormat="1" ht="20.25" customHeight="1" x14ac:dyDescent="0.2">
      <c r="A36" s="128" t="s">
        <v>774</v>
      </c>
      <c r="B36" s="129" t="s">
        <v>776</v>
      </c>
      <c r="C36" s="129" t="s">
        <v>775</v>
      </c>
      <c r="D36" s="129" t="s">
        <v>16</v>
      </c>
      <c r="E36" s="128" t="str">
        <f>VLOOKUP(A36:A264,[1]Coefficients!$A$5:$R$232,5,FALSE)</f>
        <v>Fabriekstraat</v>
      </c>
      <c r="F36" s="129">
        <f>VLOOKUP(A36:A264,[1]Coefficients!$A$5:$R$232,6,FALSE)</f>
        <v>141</v>
      </c>
      <c r="G36" s="129">
        <f>VLOOKUP(A36:A264,[1]Coefficients!$A$5:$R$232,7,FALSE)</f>
        <v>9120</v>
      </c>
      <c r="H36" s="128" t="str">
        <f>VLOOKUP(A36:A264,[1]Coefficients!$A$5:$R$232,8,FALSE)</f>
        <v>KALLO</v>
      </c>
      <c r="I36" s="128" t="s">
        <v>774</v>
      </c>
      <c r="J36" s="129" t="s">
        <v>773</v>
      </c>
      <c r="K36" s="128" t="s">
        <v>13</v>
      </c>
      <c r="L36" s="128" t="s">
        <v>6</v>
      </c>
      <c r="M36" s="128">
        <v>1</v>
      </c>
      <c r="N36" s="130">
        <v>0</v>
      </c>
      <c r="O36" s="128">
        <v>0</v>
      </c>
      <c r="P36" s="129" t="str">
        <f>VLOOKUP(A36:A263,[1]Coefficients!$A$5:$T$232,19,FALSE)</f>
        <v>22ZFL005892----F</v>
      </c>
      <c r="Q36" s="129"/>
      <c r="R36" s="95"/>
    </row>
    <row r="37" spans="1:18" s="94" customFormat="1" ht="20.25" customHeight="1" x14ac:dyDescent="0.2">
      <c r="A37" s="130" t="s">
        <v>770</v>
      </c>
      <c r="B37" s="131" t="s">
        <v>772</v>
      </c>
      <c r="C37" s="131" t="s">
        <v>771</v>
      </c>
      <c r="D37" s="131" t="s">
        <v>16</v>
      </c>
      <c r="E37" s="130" t="str">
        <f>VLOOKUP(A37:A265,[1]Coefficients!$A$5:$R$232,5,FALSE)</f>
        <v>rue de la Riviérette</v>
      </c>
      <c r="F37" s="131">
        <f>VLOOKUP(A37:A265,[1]Coefficients!$A$5:$R$232,6,FALSE)</f>
        <v>100</v>
      </c>
      <c r="G37" s="131">
        <f>VLOOKUP(A37:A265,[1]Coefficients!$A$5:$R$232,7,FALSE)</f>
        <v>7330</v>
      </c>
      <c r="H37" s="130" t="str">
        <f>VLOOKUP(A37:A265,[1]Coefficients!$A$5:$R$232,8,FALSE)</f>
        <v>SAINT-GHISLAIN</v>
      </c>
      <c r="I37" s="130" t="s">
        <v>770</v>
      </c>
      <c r="J37" s="131" t="s">
        <v>769</v>
      </c>
      <c r="K37" s="130" t="s">
        <v>13</v>
      </c>
      <c r="L37" s="130" t="s">
        <v>6</v>
      </c>
      <c r="M37" s="130">
        <v>1</v>
      </c>
      <c r="N37" s="128">
        <v>1</v>
      </c>
      <c r="O37" s="130">
        <v>1</v>
      </c>
      <c r="P37" s="131" t="str">
        <f>VLOOKUP(A37:A264,[1]Coefficients!$A$5:$T$232,19,FALSE)</f>
        <v>22ZFL445210----A</v>
      </c>
      <c r="Q37" s="131"/>
      <c r="R37" s="95"/>
    </row>
    <row r="38" spans="1:18" s="94" customFormat="1" ht="20.25" customHeight="1" x14ac:dyDescent="0.2">
      <c r="A38" s="128" t="s">
        <v>766</v>
      </c>
      <c r="B38" s="129" t="s">
        <v>768</v>
      </c>
      <c r="C38" s="129" t="s">
        <v>767</v>
      </c>
      <c r="D38" s="129" t="s">
        <v>16</v>
      </c>
      <c r="E38" s="128" t="str">
        <f>VLOOKUP(A38:A266,[1]Coefficients!$A$5:$R$232,5,FALSE)</f>
        <v>Rue Léon Charlier</v>
      </c>
      <c r="F38" s="129">
        <f>VLOOKUP(A38:A266,[1]Coefficients!$A$5:$R$232,6,FALSE)</f>
        <v>11</v>
      </c>
      <c r="G38" s="129">
        <f>VLOOKUP(A38:A266,[1]Coefficients!$A$5:$R$232,7,FALSE)</f>
        <v>4520</v>
      </c>
      <c r="H38" s="128" t="str">
        <f>VLOOKUP(A38:A266,[1]Coefficients!$A$5:$R$232,8,FALSE)</f>
        <v>WANZE</v>
      </c>
      <c r="I38" s="128" t="s">
        <v>766</v>
      </c>
      <c r="J38" s="129" t="s">
        <v>765</v>
      </c>
      <c r="K38" s="128" t="s">
        <v>13</v>
      </c>
      <c r="L38" s="128" t="s">
        <v>6</v>
      </c>
      <c r="M38" s="128">
        <v>1</v>
      </c>
      <c r="N38" s="130">
        <v>0</v>
      </c>
      <c r="O38" s="128">
        <v>0</v>
      </c>
      <c r="P38" s="129" t="str">
        <f>VLOOKUP(A38:A265,[1]Coefficients!$A$5:$T$232,19,FALSE)</f>
        <v>22ZFL005928----K</v>
      </c>
      <c r="Q38" s="129"/>
      <c r="R38" s="95"/>
    </row>
    <row r="39" spans="1:18" s="94" customFormat="1" ht="20.25" customHeight="1" x14ac:dyDescent="0.2">
      <c r="A39" s="130" t="s">
        <v>762</v>
      </c>
      <c r="B39" s="131" t="s">
        <v>764</v>
      </c>
      <c r="C39" s="131" t="s">
        <v>763</v>
      </c>
      <c r="D39" s="131" t="s">
        <v>16</v>
      </c>
      <c r="E39" s="130" t="str">
        <f>VLOOKUP(A39:A267,[1]Coefficients!$A$5:$R$232,5,FALSE)</f>
        <v>Pastorijstraat</v>
      </c>
      <c r="F39" s="131">
        <f>VLOOKUP(A39:A267,[1]Coefficients!$A$5:$R$232,6,FALSE)</f>
        <v>118</v>
      </c>
      <c r="G39" s="131">
        <f>VLOOKUP(A39:A267,[1]Coefficients!$A$5:$R$232,7,FALSE)</f>
        <v>3300</v>
      </c>
      <c r="H39" s="130" t="str">
        <f>VLOOKUP(A39:A267,[1]Coefficients!$A$5:$R$232,8,FALSE)</f>
        <v>TIENEN</v>
      </c>
      <c r="I39" s="130" t="s">
        <v>762</v>
      </c>
      <c r="J39" s="131" t="s">
        <v>761</v>
      </c>
      <c r="K39" s="130" t="s">
        <v>13</v>
      </c>
      <c r="L39" s="130" t="s">
        <v>19</v>
      </c>
      <c r="M39" s="130">
        <v>1</v>
      </c>
      <c r="N39" s="128">
        <v>1</v>
      </c>
      <c r="O39" s="130">
        <v>1</v>
      </c>
      <c r="P39" s="131" t="str">
        <f>VLOOKUP(A39:A266,[1]Coefficients!$A$5:$T$232,19,FALSE)</f>
        <v>22ZFL006025----R</v>
      </c>
      <c r="Q39" s="131"/>
      <c r="R39" s="95"/>
    </row>
    <row r="40" spans="1:18" s="94" customFormat="1" ht="20.25" customHeight="1" x14ac:dyDescent="0.2">
      <c r="A40" s="128" t="s">
        <v>758</v>
      </c>
      <c r="B40" s="129" t="s">
        <v>760</v>
      </c>
      <c r="C40" s="129" t="s">
        <v>759</v>
      </c>
      <c r="D40" s="129" t="s">
        <v>16</v>
      </c>
      <c r="E40" s="128" t="str">
        <f>VLOOKUP(A40:A268,[1]Coefficients!$A$5:$R$232,5,FALSE)</f>
        <v>Haven 1568 - Sint-Jansweg</v>
      </c>
      <c r="F40" s="129">
        <f>VLOOKUP(A40:A268,[1]Coefficients!$A$5:$R$232,6,FALSE)</f>
        <v>2</v>
      </c>
      <c r="G40" s="129">
        <f>VLOOKUP(A40:A268,[1]Coefficients!$A$5:$R$232,7,FALSE)</f>
        <v>9130</v>
      </c>
      <c r="H40" s="128" t="str">
        <f>VLOOKUP(A40:A268,[1]Coefficients!$A$5:$R$232,8,FALSE)</f>
        <v>KALLO</v>
      </c>
      <c r="I40" s="128" t="s">
        <v>758</v>
      </c>
      <c r="J40" s="129" t="s">
        <v>757</v>
      </c>
      <c r="K40" s="128" t="s">
        <v>13</v>
      </c>
      <c r="L40" s="128" t="s">
        <v>6</v>
      </c>
      <c r="M40" s="128">
        <v>1</v>
      </c>
      <c r="N40" s="130">
        <v>0</v>
      </c>
      <c r="O40" s="128">
        <v>0</v>
      </c>
      <c r="P40" s="129" t="str">
        <f>VLOOKUP(A40:A267,[1]Coefficients!$A$5:$T$232,19,FALSE)</f>
        <v>22ZFL004744----I</v>
      </c>
      <c r="Q40" s="129"/>
      <c r="R40" s="95"/>
    </row>
    <row r="41" spans="1:18" s="94" customFormat="1" ht="20.25" customHeight="1" x14ac:dyDescent="0.2">
      <c r="A41" s="130" t="s">
        <v>754</v>
      </c>
      <c r="B41" s="131" t="s">
        <v>756</v>
      </c>
      <c r="C41" s="131" t="s">
        <v>755</v>
      </c>
      <c r="D41" s="131" t="s">
        <v>16</v>
      </c>
      <c r="E41" s="130" t="str">
        <f>VLOOKUP(A41:A269,[1]Coefficients!$A$5:$R$232,5,FALSE)</f>
        <v>Industrieweg</v>
      </c>
      <c r="F41" s="131">
        <f>VLOOKUP(A41:A269,[1]Coefficients!$A$5:$R$232,6,FALSE)</f>
        <v>148</v>
      </c>
      <c r="G41" s="131">
        <f>VLOOKUP(A41:A269,[1]Coefficients!$A$5:$R$232,7,FALSE)</f>
        <v>3583</v>
      </c>
      <c r="H41" s="130" t="str">
        <f>VLOOKUP(A41:A269,[1]Coefficients!$A$5:$R$232,8,FALSE)</f>
        <v>PAAL-BERINGEN</v>
      </c>
      <c r="I41" s="130" t="s">
        <v>754</v>
      </c>
      <c r="J41" s="131" t="s">
        <v>753</v>
      </c>
      <c r="K41" s="130" t="s">
        <v>13</v>
      </c>
      <c r="L41" s="130" t="s">
        <v>6</v>
      </c>
      <c r="M41" s="130">
        <v>1</v>
      </c>
      <c r="N41" s="130">
        <v>0</v>
      </c>
      <c r="O41" s="130">
        <v>0</v>
      </c>
      <c r="P41" s="131" t="str">
        <f>VLOOKUP(A41:A268,[1]Coefficients!$A$5:$T$232,19,FALSE)</f>
        <v>22ZFL004698----4</v>
      </c>
      <c r="Q41" s="131" t="str">
        <f>VLOOKUP(A41:A268,[1]Coefficients!$A$5:$T$232,20,FALSE)</f>
        <v>01/09/2015 - Done</v>
      </c>
      <c r="R41" s="95"/>
    </row>
    <row r="42" spans="1:18" s="94" customFormat="1" ht="20.25" customHeight="1" x14ac:dyDescent="0.2">
      <c r="A42" s="128" t="s">
        <v>750</v>
      </c>
      <c r="B42" s="129" t="s">
        <v>752</v>
      </c>
      <c r="C42" s="129" t="s">
        <v>751</v>
      </c>
      <c r="D42" s="129" t="s">
        <v>16</v>
      </c>
      <c r="E42" s="128" t="str">
        <f>VLOOKUP(A42:A270,[1]Coefficients!$A$5:$R$232,5,FALSE)</f>
        <v>Amocolaan</v>
      </c>
      <c r="F42" s="129">
        <f>VLOOKUP(A42:A270,[1]Coefficients!$A$5:$R$232,6,FALSE)</f>
        <v>2</v>
      </c>
      <c r="G42" s="129">
        <f>VLOOKUP(A42:A270,[1]Coefficients!$A$5:$R$232,7,FALSE)</f>
        <v>2440</v>
      </c>
      <c r="H42" s="128" t="str">
        <f>VLOOKUP(A42:A270,[1]Coefficients!$A$5:$R$232,8,FALSE)</f>
        <v>GEEL</v>
      </c>
      <c r="I42" s="128" t="s">
        <v>750</v>
      </c>
      <c r="J42" s="129" t="s">
        <v>749</v>
      </c>
      <c r="K42" s="128" t="s">
        <v>13</v>
      </c>
      <c r="L42" s="128" t="s">
        <v>6</v>
      </c>
      <c r="M42" s="128">
        <v>1</v>
      </c>
      <c r="N42" s="130">
        <v>0</v>
      </c>
      <c r="O42" s="128">
        <v>0</v>
      </c>
      <c r="P42" s="129" t="str">
        <f>VLOOKUP(A42:A269,[1]Coefficients!$A$5:$T$232,19,FALSE)</f>
        <v>22ZFL004710----Q</v>
      </c>
      <c r="Q42" s="129" t="str">
        <f>VLOOKUP(A42:A269,[1]Coefficients!$A$5:$T$232,20,FALSE)</f>
        <v>01/09/2015 - Done</v>
      </c>
      <c r="R42" s="95"/>
    </row>
    <row r="43" spans="1:18" s="94" customFormat="1" ht="20.25" customHeight="1" x14ac:dyDescent="0.2">
      <c r="A43" s="130" t="s">
        <v>746</v>
      </c>
      <c r="B43" s="131" t="s">
        <v>748</v>
      </c>
      <c r="C43" s="131" t="s">
        <v>747</v>
      </c>
      <c r="D43" s="131" t="s">
        <v>16</v>
      </c>
      <c r="E43" s="130" t="str">
        <f>VLOOKUP(A43:A271,[1]Coefficients!$A$5:$R$232,5,FALSE)</f>
        <v>Luchthaven Brussel-Nationaal gebouw 16</v>
      </c>
      <c r="F43" s="131" t="str">
        <f>VLOOKUP(A43:A271,[1]Coefficients!$A$5:$R$232,6,FALSE)</f>
        <v>z/n</v>
      </c>
      <c r="G43" s="131">
        <f>VLOOKUP(A43:A271,[1]Coefficients!$A$5:$R$232,7,FALSE)</f>
        <v>1930</v>
      </c>
      <c r="H43" s="130" t="str">
        <f>VLOOKUP(A43:A271,[1]Coefficients!$A$5:$R$232,8,FALSE)</f>
        <v>ZAVENTEM</v>
      </c>
      <c r="I43" s="130" t="s">
        <v>746</v>
      </c>
      <c r="J43" s="131" t="s">
        <v>745</v>
      </c>
      <c r="K43" s="130" t="s">
        <v>13</v>
      </c>
      <c r="L43" s="130" t="s">
        <v>19</v>
      </c>
      <c r="M43" s="130">
        <v>1</v>
      </c>
      <c r="N43" s="128">
        <v>1</v>
      </c>
      <c r="O43" s="130">
        <v>1</v>
      </c>
      <c r="P43" s="131" t="str">
        <f>VLOOKUP(A43:A270,[1]Coefficients!$A$5:$T$232,19,FALSE)</f>
        <v>22ZFL004727----E</v>
      </c>
      <c r="Q43" s="131"/>
      <c r="R43" s="95"/>
    </row>
    <row r="44" spans="1:18" s="94" customFormat="1" ht="20.25" customHeight="1" x14ac:dyDescent="0.2">
      <c r="A44" s="128" t="s">
        <v>742</v>
      </c>
      <c r="B44" s="129" t="s">
        <v>744</v>
      </c>
      <c r="C44" s="129" t="s">
        <v>743</v>
      </c>
      <c r="D44" s="129" t="s">
        <v>16</v>
      </c>
      <c r="E44" s="128" t="str">
        <f>VLOOKUP(A44:A272,[1]Coefficients!$A$5:$R$232,5,FALSE)</f>
        <v xml:space="preserve">Rue de la Papeterie </v>
      </c>
      <c r="F44" s="129">
        <f>VLOOKUP(A44:A272,[1]Coefficients!$A$5:$R$232,6,FALSE)</f>
        <v>1</v>
      </c>
      <c r="G44" s="129">
        <f>VLOOKUP(A44:A272,[1]Coefficients!$A$5:$R$232,7,FALSE)</f>
        <v>6760</v>
      </c>
      <c r="H44" s="128" t="str">
        <f>VLOOKUP(A44:A272,[1]Coefficients!$A$5:$R$232,8,FALSE)</f>
        <v>VIRTON</v>
      </c>
      <c r="I44" s="128" t="s">
        <v>742</v>
      </c>
      <c r="J44" s="129" t="s">
        <v>741</v>
      </c>
      <c r="K44" s="128" t="s">
        <v>13</v>
      </c>
      <c r="L44" s="128" t="s">
        <v>6</v>
      </c>
      <c r="M44" s="128">
        <v>1</v>
      </c>
      <c r="N44" s="130">
        <v>0</v>
      </c>
      <c r="O44" s="128">
        <v>0</v>
      </c>
      <c r="P44" s="129" t="str">
        <f>VLOOKUP(A44:A271,[1]Coefficients!$A$5:$T$232,19,FALSE)</f>
        <v>57ZFL007170----U</v>
      </c>
      <c r="Q44" s="129"/>
      <c r="R44" s="95"/>
    </row>
    <row r="45" spans="1:18" s="94" customFormat="1" ht="20.25" customHeight="1" x14ac:dyDescent="0.2">
      <c r="A45" s="130" t="s">
        <v>740</v>
      </c>
      <c r="B45" s="131" t="s">
        <v>739</v>
      </c>
      <c r="C45" s="131" t="s">
        <v>738</v>
      </c>
      <c r="D45" s="131" t="s">
        <v>16</v>
      </c>
      <c r="E45" s="130" t="str">
        <f>VLOOKUP(A45:A273,[1]Coefficients!$A$5:$R$232,5,FALSE)</f>
        <v>Blauwe Hoevestraat</v>
      </c>
      <c r="F45" s="131">
        <f>VLOOKUP(A45:A273,[1]Coefficients!$A$5:$R$232,6,FALSE)</f>
        <v>17</v>
      </c>
      <c r="G45" s="131">
        <f>VLOOKUP(A45:A273,[1]Coefficients!$A$5:$R$232,7,FALSE)</f>
        <v>2070</v>
      </c>
      <c r="H45" s="130" t="str">
        <f>VLOOKUP(A45:A273,[1]Coefficients!$A$5:$R$232,8,FALSE)</f>
        <v>ZWIJNDRECHT</v>
      </c>
      <c r="I45" s="130" t="s">
        <v>737</v>
      </c>
      <c r="J45" s="131" t="s">
        <v>736</v>
      </c>
      <c r="K45" s="130" t="s">
        <v>13</v>
      </c>
      <c r="L45" s="130" t="s">
        <v>6</v>
      </c>
      <c r="M45" s="130">
        <v>1</v>
      </c>
      <c r="N45" s="130">
        <v>0</v>
      </c>
      <c r="O45" s="130">
        <v>0</v>
      </c>
      <c r="P45" s="131" t="str">
        <f>VLOOKUP(A45:A272,[1]Coefficients!$A$5:$T$232,19,FALSE)</f>
        <v>57ZFL007311----D</v>
      </c>
      <c r="Q45" s="131"/>
      <c r="R45" s="95"/>
    </row>
    <row r="46" spans="1:18" s="94" customFormat="1" ht="20.25" customHeight="1" x14ac:dyDescent="0.2">
      <c r="A46" s="128" t="s">
        <v>735</v>
      </c>
      <c r="B46" s="129" t="s">
        <v>734</v>
      </c>
      <c r="C46" s="129" t="s">
        <v>733</v>
      </c>
      <c r="D46" s="129" t="s">
        <v>16</v>
      </c>
      <c r="E46" s="128" t="str">
        <f>VLOOKUP(A46:A274,[1]Coefficients!$A$5:$R$232,5,FALSE)</f>
        <v>Moervaartkaai</v>
      </c>
      <c r="F46" s="129">
        <f>VLOOKUP(A46:A274,[1]Coefficients!$A$5:$R$232,6,FALSE)</f>
        <v>1</v>
      </c>
      <c r="G46" s="129">
        <f>VLOOKUP(A46:A274,[1]Coefficients!$A$5:$R$232,7,FALSE)</f>
        <v>9042</v>
      </c>
      <c r="H46" s="128" t="str">
        <f>VLOOKUP(A46:A274,[1]Coefficients!$A$5:$R$232,8,FALSE)</f>
        <v>GENT</v>
      </c>
      <c r="I46" s="128" t="s">
        <v>732</v>
      </c>
      <c r="J46" s="129" t="s">
        <v>731</v>
      </c>
      <c r="K46" s="128" t="s">
        <v>13</v>
      </c>
      <c r="L46" s="128" t="s">
        <v>6</v>
      </c>
      <c r="M46" s="128">
        <v>1</v>
      </c>
      <c r="N46" s="130">
        <v>0</v>
      </c>
      <c r="O46" s="128">
        <v>0</v>
      </c>
      <c r="P46" s="129" t="str">
        <f>VLOOKUP(A46:A273,[1]Coefficients!$A$5:$T$232,19,FALSE)</f>
        <v>22ZFL005929----E</v>
      </c>
      <c r="Q46" s="129"/>
      <c r="R46" s="95"/>
    </row>
    <row r="47" spans="1:18" s="94" customFormat="1" ht="20.25" customHeight="1" x14ac:dyDescent="0.2">
      <c r="A47" s="130" t="s">
        <v>728</v>
      </c>
      <c r="B47" s="131" t="s">
        <v>730</v>
      </c>
      <c r="C47" s="131" t="s">
        <v>729</v>
      </c>
      <c r="D47" s="131" t="s">
        <v>16</v>
      </c>
      <c r="E47" s="130" t="str">
        <f>VLOOKUP(A47:A275,[1]Coefficients!$A$5:$R$232,5,FALSE)</f>
        <v>Zijpstraat</v>
      </c>
      <c r="F47" s="131">
        <f>VLOOKUP(A47:A275,[1]Coefficients!$A$5:$R$232,6,FALSE)</f>
        <v>155</v>
      </c>
      <c r="G47" s="131">
        <f>VLOOKUP(A47:A275,[1]Coefficients!$A$5:$R$232,7,FALSE)</f>
        <v>3020</v>
      </c>
      <c r="H47" s="130" t="str">
        <f>VLOOKUP(A47:A275,[1]Coefficients!$A$5:$R$232,8,FALSE)</f>
        <v>HERENT</v>
      </c>
      <c r="I47" s="130" t="s">
        <v>728</v>
      </c>
      <c r="J47" s="131" t="s">
        <v>727</v>
      </c>
      <c r="K47" s="130" t="s">
        <v>13</v>
      </c>
      <c r="L47" s="130" t="s">
        <v>19</v>
      </c>
      <c r="M47" s="130">
        <v>1</v>
      </c>
      <c r="N47" s="130">
        <v>0</v>
      </c>
      <c r="O47" s="130">
        <v>0</v>
      </c>
      <c r="P47" s="131" t="str">
        <f>VLOOKUP(A47:A274,[1]Coefficients!$A$5:$T$232,19,FALSE)</f>
        <v>22ZFL004726----K</v>
      </c>
      <c r="Q47" s="131"/>
      <c r="R47" s="95"/>
    </row>
    <row r="48" spans="1:18" s="94" customFormat="1" ht="20.25" customHeight="1" x14ac:dyDescent="0.2">
      <c r="A48" s="128" t="s">
        <v>724</v>
      </c>
      <c r="B48" s="129" t="s">
        <v>726</v>
      </c>
      <c r="C48" s="129" t="s">
        <v>725</v>
      </c>
      <c r="D48" s="129" t="s">
        <v>16</v>
      </c>
      <c r="E48" s="128" t="str">
        <f>VLOOKUP(A48:A276,[1]Coefficients!$A$5:$R$232,5,FALSE)</f>
        <v>Haven 506 - Muisbroeklaan</v>
      </c>
      <c r="F48" s="129">
        <f>VLOOKUP(A48:A276,[1]Coefficients!$A$5:$R$232,6,FALSE)</f>
        <v>43</v>
      </c>
      <c r="G48" s="129">
        <f>VLOOKUP(A48:A276,[1]Coefficients!$A$5:$R$232,7,FALSE)</f>
        <v>2030</v>
      </c>
      <c r="H48" s="128" t="str">
        <f>VLOOKUP(A48:A276,[1]Coefficients!$A$5:$R$232,8,FALSE)</f>
        <v>ANTWERPEN 3</v>
      </c>
      <c r="I48" s="128" t="s">
        <v>724</v>
      </c>
      <c r="J48" s="129" t="s">
        <v>723</v>
      </c>
      <c r="K48" s="128" t="s">
        <v>13</v>
      </c>
      <c r="L48" s="128" t="s">
        <v>19</v>
      </c>
      <c r="M48" s="128">
        <v>1</v>
      </c>
      <c r="N48" s="130">
        <v>0</v>
      </c>
      <c r="O48" s="128">
        <v>0</v>
      </c>
      <c r="P48" s="129" t="str">
        <f>VLOOKUP(A48:A275,[1]Coefficients!$A$5:$T$232,19,FALSE)</f>
        <v>22ZFL211310----G</v>
      </c>
      <c r="Q48" s="129"/>
      <c r="R48" s="95"/>
    </row>
    <row r="49" spans="1:18" s="94" customFormat="1" ht="20.25" customHeight="1" x14ac:dyDescent="0.2">
      <c r="A49" s="130" t="s">
        <v>720</v>
      </c>
      <c r="B49" s="131" t="s">
        <v>722</v>
      </c>
      <c r="C49" s="131" t="s">
        <v>721</v>
      </c>
      <c r="D49" s="131" t="s">
        <v>16</v>
      </c>
      <c r="E49" s="130" t="str">
        <f>VLOOKUP(A49:A277,[1]Coefficients!$A$5:$R$232,5,FALSE)</f>
        <v>rue de Boudjesse</v>
      </c>
      <c r="F49" s="131">
        <f>VLOOKUP(A49:A277,[1]Coefficients!$A$5:$R$232,6,FALSE)</f>
        <v>1</v>
      </c>
      <c r="G49" s="131">
        <f>VLOOKUP(A49:A277,[1]Coefficients!$A$5:$R$232,7,FALSE)</f>
        <v>5070</v>
      </c>
      <c r="H49" s="130" t="str">
        <f>VLOOKUP(A49:A277,[1]Coefficients!$A$5:$R$232,8,FALSE)</f>
        <v>FOSSES-LA-VILLE</v>
      </c>
      <c r="I49" s="130" t="s">
        <v>720</v>
      </c>
      <c r="J49" s="131" t="s">
        <v>719</v>
      </c>
      <c r="K49" s="130" t="s">
        <v>13</v>
      </c>
      <c r="L49" s="130" t="s">
        <v>6</v>
      </c>
      <c r="M49" s="130">
        <v>1</v>
      </c>
      <c r="N49" s="128">
        <v>1</v>
      </c>
      <c r="O49" s="130">
        <v>0</v>
      </c>
      <c r="P49" s="131" t="str">
        <f>VLOOKUP(A49:A276,[1]Coefficients!$A$5:$T$232,19,FALSE)</f>
        <v>22ZFL004755----5</v>
      </c>
      <c r="Q49" s="131"/>
      <c r="R49" s="95"/>
    </row>
    <row r="50" spans="1:18" s="94" customFormat="1" ht="20.25" customHeight="1" x14ac:dyDescent="0.2">
      <c r="A50" s="128" t="s">
        <v>716</v>
      </c>
      <c r="B50" s="129" t="s">
        <v>718</v>
      </c>
      <c r="C50" s="129" t="s">
        <v>717</v>
      </c>
      <c r="D50" s="129" t="s">
        <v>16</v>
      </c>
      <c r="E50" s="128" t="str">
        <f>VLOOKUP(A50:A278,[1]Coefficients!$A$5:$R$232,5,FALSE)</f>
        <v>Rue de Ramet</v>
      </c>
      <c r="F50" s="129" t="str">
        <f>VLOOKUP(A50:A278,[1]Coefficients!$A$5:$R$232,6,FALSE)</f>
        <v>z/n</v>
      </c>
      <c r="G50" s="129">
        <f>VLOOKUP(A50:A278,[1]Coefficients!$A$5:$R$232,7,FALSE)</f>
        <v>4480</v>
      </c>
      <c r="H50" s="128" t="str">
        <f>VLOOKUP(A50:A278,[1]Coefficients!$A$5:$R$232,8,FALSE)</f>
        <v>ENGIS</v>
      </c>
      <c r="I50" s="128" t="s">
        <v>716</v>
      </c>
      <c r="J50" s="129" t="s">
        <v>715</v>
      </c>
      <c r="K50" s="128" t="s">
        <v>13</v>
      </c>
      <c r="L50" s="128" t="s">
        <v>6</v>
      </c>
      <c r="M50" s="128">
        <v>1</v>
      </c>
      <c r="N50" s="130">
        <v>0</v>
      </c>
      <c r="O50" s="128">
        <v>0</v>
      </c>
      <c r="P50" s="129" t="str">
        <f>VLOOKUP(A50:A277,[1]Coefficients!$A$5:$T$232,19,FALSE)</f>
        <v>22ZFL868110----1</v>
      </c>
      <c r="Q50" s="129"/>
      <c r="R50" s="95"/>
    </row>
    <row r="51" spans="1:18" s="94" customFormat="1" ht="20.25" customHeight="1" x14ac:dyDescent="0.2">
      <c r="A51" s="130" t="s">
        <v>712</v>
      </c>
      <c r="B51" s="131" t="s">
        <v>714</v>
      </c>
      <c r="C51" s="131" t="s">
        <v>713</v>
      </c>
      <c r="D51" s="131" t="s">
        <v>16</v>
      </c>
      <c r="E51" s="130" t="str">
        <f>VLOOKUP(A51:A279,[1]Coefficients!$A$5:$R$232,5,FALSE)</f>
        <v>rue des Forges</v>
      </c>
      <c r="F51" s="131" t="str">
        <f>VLOOKUP(A51:A279,[1]Coefficients!$A$5:$R$232,6,FALSE)</f>
        <v>z/n</v>
      </c>
      <c r="G51" s="131">
        <f>VLOOKUP(A51:A279,[1]Coefficients!$A$5:$R$232,7,FALSE)</f>
        <v>5300</v>
      </c>
      <c r="H51" s="130" t="str">
        <f>VLOOKUP(A51:A279,[1]Coefficients!$A$5:$R$232,8,FALSE)</f>
        <v>SEILLES</v>
      </c>
      <c r="I51" s="130" t="s">
        <v>712</v>
      </c>
      <c r="J51" s="131" t="s">
        <v>711</v>
      </c>
      <c r="K51" s="130" t="s">
        <v>13</v>
      </c>
      <c r="L51" s="130" t="s">
        <v>6</v>
      </c>
      <c r="M51" s="130">
        <v>1</v>
      </c>
      <c r="N51" s="128">
        <v>1</v>
      </c>
      <c r="O51" s="130">
        <v>1</v>
      </c>
      <c r="P51" s="131" t="str">
        <f>VLOOKUP(A51:A278,[1]Coefficients!$A$5:$T$232,19,FALSE)</f>
        <v>22ZFL004784----R</v>
      </c>
      <c r="Q51" s="131"/>
      <c r="R51" s="95"/>
    </row>
    <row r="52" spans="1:18" s="94" customFormat="1" ht="20.25" customHeight="1" x14ac:dyDescent="0.2">
      <c r="A52" s="128" t="s">
        <v>708</v>
      </c>
      <c r="B52" s="129" t="s">
        <v>710</v>
      </c>
      <c r="C52" s="129" t="s">
        <v>709</v>
      </c>
      <c r="D52" s="129" t="s">
        <v>16</v>
      </c>
      <c r="E52" s="128" t="str">
        <f>VLOOKUP(A52:A280,[1]Coefficients!$A$5:$R$232,5,FALSE)</f>
        <v>rue du Val Notre-Dame</v>
      </c>
      <c r="F52" s="129" t="str">
        <f>VLOOKUP(A52:A280,[1]Coefficients!$A$5:$R$232,6,FALSE)</f>
        <v>z/n</v>
      </c>
      <c r="G52" s="129">
        <f>VLOOKUP(A52:A280,[1]Coefficients!$A$5:$R$232,7,FALSE)</f>
        <v>4520</v>
      </c>
      <c r="H52" s="128" t="str">
        <f>VLOOKUP(A52:A280,[1]Coefficients!$A$5:$R$232,8,FALSE)</f>
        <v>MOHA</v>
      </c>
      <c r="I52" s="128" t="s">
        <v>708</v>
      </c>
      <c r="J52" s="129" t="s">
        <v>707</v>
      </c>
      <c r="K52" s="128" t="s">
        <v>13</v>
      </c>
      <c r="L52" s="128" t="s">
        <v>6</v>
      </c>
      <c r="M52" s="128">
        <v>1</v>
      </c>
      <c r="N52" s="128">
        <v>1</v>
      </c>
      <c r="O52" s="128">
        <v>1</v>
      </c>
      <c r="P52" s="129" t="str">
        <f>VLOOKUP(A52:A279,[1]Coefficients!$A$5:$T$232,19,FALSE)</f>
        <v>22ZFL004783----X</v>
      </c>
      <c r="Q52" s="129"/>
      <c r="R52" s="95"/>
    </row>
    <row r="53" spans="1:18" s="94" customFormat="1" ht="20.25" customHeight="1" x14ac:dyDescent="0.2">
      <c r="A53" s="130" t="s">
        <v>701</v>
      </c>
      <c r="B53" s="131" t="s">
        <v>703</v>
      </c>
      <c r="C53" s="131" t="s">
        <v>702</v>
      </c>
      <c r="D53" s="131" t="s">
        <v>16</v>
      </c>
      <c r="E53" s="130" t="str">
        <f>VLOOKUP(A53:A281,[1]Coefficients!$A$5:$R$232,5,FALSE)</f>
        <v>Arbedkaai</v>
      </c>
      <c r="F53" s="131">
        <f>VLOOKUP(A53:A281,[1]Coefficients!$A$5:$R$232,6,FALSE)</f>
        <v>3</v>
      </c>
      <c r="G53" s="131">
        <f>VLOOKUP(A53:A281,[1]Coefficients!$A$5:$R$232,7,FALSE)</f>
        <v>9042</v>
      </c>
      <c r="H53" s="130" t="str">
        <f>VLOOKUP(A53:A281,[1]Coefficients!$A$5:$R$232,8,FALSE)</f>
        <v>SINT-KRUIS-WINKEL</v>
      </c>
      <c r="I53" s="130" t="s">
        <v>701</v>
      </c>
      <c r="J53" s="131" t="s">
        <v>700</v>
      </c>
      <c r="K53" s="130" t="s">
        <v>13</v>
      </c>
      <c r="L53" s="130" t="s">
        <v>6</v>
      </c>
      <c r="M53" s="130">
        <v>1</v>
      </c>
      <c r="N53" s="130">
        <v>0</v>
      </c>
      <c r="O53" s="130">
        <v>0</v>
      </c>
      <c r="P53" s="131" t="str">
        <f>VLOOKUP(A53:A280,[1]Coefficients!$A$5:$T$232,19,FALSE)</f>
        <v>22ZFL424330----H</v>
      </c>
      <c r="Q53" s="131"/>
      <c r="R53" s="95"/>
    </row>
    <row r="54" spans="1:18" s="94" customFormat="1" ht="20.25" customHeight="1" x14ac:dyDescent="0.2">
      <c r="A54" s="128" t="s">
        <v>697</v>
      </c>
      <c r="B54" s="129" t="s">
        <v>699</v>
      </c>
      <c r="C54" s="129" t="s">
        <v>698</v>
      </c>
      <c r="D54" s="129" t="s">
        <v>16</v>
      </c>
      <c r="E54" s="128" t="str">
        <f>VLOOKUP(A54:A282,[1]Coefficients!$A$5:$R$232,5,FALSE)</f>
        <v>rue des Trois Fermes</v>
      </c>
      <c r="F54" s="129" t="str">
        <f>VLOOKUP(A54:A282,[1]Coefficients!$A$5:$R$232,6,FALSE)</f>
        <v>z/n</v>
      </c>
      <c r="G54" s="129">
        <f>VLOOKUP(A54:A282,[1]Coefficients!$A$5:$R$232,7,FALSE)</f>
        <v>4600</v>
      </c>
      <c r="H54" s="128" t="str">
        <f>VLOOKUP(A54:A282,[1]Coefficients!$A$5:$R$232,8,FALSE)</f>
        <v>VISE</v>
      </c>
      <c r="I54" s="128" t="s">
        <v>697</v>
      </c>
      <c r="J54" s="129" t="s">
        <v>696</v>
      </c>
      <c r="K54" s="128" t="s">
        <v>13</v>
      </c>
      <c r="L54" s="128" t="s">
        <v>6</v>
      </c>
      <c r="M54" s="128">
        <v>1</v>
      </c>
      <c r="N54" s="130">
        <v>0</v>
      </c>
      <c r="O54" s="128">
        <v>0</v>
      </c>
      <c r="P54" s="129" t="str">
        <f>VLOOKUP(A54:A281,[1]Coefficients!$A$5:$T$232,19,FALSE)</f>
        <v>22ZFL004775----S</v>
      </c>
      <c r="Q54" s="129"/>
      <c r="R54" s="95"/>
    </row>
    <row r="55" spans="1:18" s="94" customFormat="1" ht="20.25" customHeight="1" x14ac:dyDescent="0.2">
      <c r="A55" s="130" t="s">
        <v>693</v>
      </c>
      <c r="B55" s="131" t="s">
        <v>695</v>
      </c>
      <c r="C55" s="131" t="s">
        <v>694</v>
      </c>
      <c r="D55" s="131" t="s">
        <v>16</v>
      </c>
      <c r="E55" s="130" t="str">
        <f>VLOOKUP(A55:A283,[1]Coefficients!$A$5:$R$232,5,FALSE)</f>
        <v>Industrieweg</v>
      </c>
      <c r="F55" s="131">
        <f>VLOOKUP(A55:A283,[1]Coefficients!$A$5:$R$232,6,FALSE)</f>
        <v>80</v>
      </c>
      <c r="G55" s="131">
        <f>VLOOKUP(A55:A283,[1]Coefficients!$A$5:$R$232,7,FALSE)</f>
        <v>3620</v>
      </c>
      <c r="H55" s="130" t="str">
        <f>VLOOKUP(A55:A283,[1]Coefficients!$A$5:$R$232,8,FALSE)</f>
        <v>LANAKEN</v>
      </c>
      <c r="I55" s="130" t="s">
        <v>693</v>
      </c>
      <c r="J55" s="131" t="s">
        <v>692</v>
      </c>
      <c r="K55" s="130" t="s">
        <v>13</v>
      </c>
      <c r="L55" s="130" t="s">
        <v>6</v>
      </c>
      <c r="M55" s="130">
        <v>1</v>
      </c>
      <c r="N55" s="130">
        <v>0</v>
      </c>
      <c r="O55" s="130">
        <v>0</v>
      </c>
      <c r="P55" s="131" t="str">
        <f>VLOOKUP(A55:A282,[1]Coefficients!$A$5:$T$232,19,FALSE)</f>
        <v>22ZFL004706----Y</v>
      </c>
      <c r="Q55" s="131"/>
      <c r="R55" s="95"/>
    </row>
    <row r="56" spans="1:18" s="94" customFormat="1" ht="20.25" customHeight="1" x14ac:dyDescent="0.2">
      <c r="A56" s="128" t="s">
        <v>691</v>
      </c>
      <c r="B56" s="129" t="s">
        <v>690</v>
      </c>
      <c r="C56" s="129" t="s">
        <v>689</v>
      </c>
      <c r="D56" s="129" t="s">
        <v>16</v>
      </c>
      <c r="E56" s="128" t="str">
        <f>VLOOKUP(A56:A284,[1]Coefficients!$A$5:$R$232,5,FALSE)</f>
        <v>Zoning Industriel - Zone C</v>
      </c>
      <c r="F56" s="129" t="str">
        <f>VLOOKUP(A56:A284,[1]Coefficients!$A$5:$R$232,6,FALSE)</f>
        <v>z/n</v>
      </c>
      <c r="G56" s="129">
        <f>VLOOKUP(A56:A284,[1]Coefficients!$A$5:$R$232,7,FALSE)</f>
        <v>7181</v>
      </c>
      <c r="H56" s="128" t="str">
        <f>VLOOKUP(A56:A284,[1]Coefficients!$A$5:$R$232,8,FALSE)</f>
        <v>FELUY</v>
      </c>
      <c r="I56" s="128" t="s">
        <v>691</v>
      </c>
      <c r="J56" s="129" t="s">
        <v>688</v>
      </c>
      <c r="K56" s="128" t="s">
        <v>13</v>
      </c>
      <c r="L56" s="128" t="s">
        <v>6</v>
      </c>
      <c r="M56" s="128">
        <v>1</v>
      </c>
      <c r="N56" s="130">
        <v>0</v>
      </c>
      <c r="O56" s="128">
        <v>0</v>
      </c>
      <c r="P56" s="129" t="str">
        <f>VLOOKUP(A56:A283,[1]Coefficients!$A$5:$T$232,19,FALSE)</f>
        <v>22ZFL004760----S</v>
      </c>
      <c r="Q56" s="129"/>
      <c r="R56" s="95"/>
    </row>
    <row r="57" spans="1:18" s="94" customFormat="1" ht="20.25" customHeight="1" x14ac:dyDescent="0.2">
      <c r="A57" s="130" t="s">
        <v>687</v>
      </c>
      <c r="B57" s="131" t="s">
        <v>686</v>
      </c>
      <c r="C57" s="131" t="s">
        <v>685</v>
      </c>
      <c r="D57" s="131" t="s">
        <v>16</v>
      </c>
      <c r="E57" s="130" t="str">
        <f>VLOOKUP(A57:A285,[1]Coefficients!$A$5:$R$232,5,FALSE)</f>
        <v>Industrieweg</v>
      </c>
      <c r="F57" s="131">
        <f>VLOOKUP(A57:A285,[1]Coefficients!$A$5:$R$232,6,FALSE)</f>
        <v>154</v>
      </c>
      <c r="G57" s="131">
        <f>VLOOKUP(A57:A285,[1]Coefficients!$A$5:$R$232,7,FALSE)</f>
        <v>3583</v>
      </c>
      <c r="H57" s="130" t="str">
        <f>VLOOKUP(A57:A285,[1]Coefficients!$A$5:$R$232,8,FALSE)</f>
        <v>BERINGEN</v>
      </c>
      <c r="I57" s="130" t="s">
        <v>684</v>
      </c>
      <c r="J57" s="131" t="s">
        <v>683</v>
      </c>
      <c r="K57" s="130" t="s">
        <v>13</v>
      </c>
      <c r="L57" s="130" t="s">
        <v>6</v>
      </c>
      <c r="M57" s="130">
        <v>1</v>
      </c>
      <c r="N57" s="130">
        <v>0</v>
      </c>
      <c r="O57" s="130">
        <v>0</v>
      </c>
      <c r="P57" s="131" t="str">
        <f>VLOOKUP(A57:A284,[1]Coefficients!$A$5:$T$232,19,FALSE)</f>
        <v>22ZFL115170----2</v>
      </c>
      <c r="Q57" s="131" t="str">
        <f>VLOOKUP(A57:A284,[1]Coefficients!$A$5:$T$232,20,FALSE)</f>
        <v>01/09/2015 - Done</v>
      </c>
      <c r="R57" s="95"/>
    </row>
    <row r="58" spans="1:18" s="94" customFormat="1" ht="20.25" customHeight="1" x14ac:dyDescent="0.2">
      <c r="A58" s="128" t="s">
        <v>680</v>
      </c>
      <c r="B58" s="129" t="s">
        <v>682</v>
      </c>
      <c r="C58" s="129" t="s">
        <v>681</v>
      </c>
      <c r="D58" s="129" t="s">
        <v>16</v>
      </c>
      <c r="E58" s="128" t="str">
        <f>VLOOKUP(A58:A286,[1]Coefficients!$A$5:$R$232,5,FALSE)</f>
        <v>Fabrieksstraat</v>
      </c>
      <c r="F58" s="129">
        <f>VLOOKUP(A58:A286,[1]Coefficients!$A$5:$R$232,6,FALSE)</f>
        <v>5</v>
      </c>
      <c r="G58" s="129">
        <f>VLOOKUP(A58:A286,[1]Coefficients!$A$5:$R$232,7,FALSE)</f>
        <v>3980</v>
      </c>
      <c r="H58" s="128" t="str">
        <f>VLOOKUP(A58:A286,[1]Coefficients!$A$5:$R$232,8,FALSE)</f>
        <v>TESSENDERLO</v>
      </c>
      <c r="I58" s="128" t="s">
        <v>680</v>
      </c>
      <c r="J58" s="129" t="s">
        <v>679</v>
      </c>
      <c r="K58" s="128" t="s">
        <v>13</v>
      </c>
      <c r="L58" s="128" t="s">
        <v>19</v>
      </c>
      <c r="M58" s="128">
        <v>1</v>
      </c>
      <c r="N58" s="130">
        <v>0</v>
      </c>
      <c r="O58" s="128">
        <v>0</v>
      </c>
      <c r="P58" s="129" t="str">
        <f>VLOOKUP(A58:A285,[1]Coefficients!$A$5:$T$232,19,FALSE)</f>
        <v>22ZFL004699----Z</v>
      </c>
      <c r="Q58" s="129"/>
      <c r="R58" s="95"/>
    </row>
    <row r="59" spans="1:18" s="94" customFormat="1" ht="20.25" customHeight="1" x14ac:dyDescent="0.2">
      <c r="A59" s="130" t="s">
        <v>678</v>
      </c>
      <c r="B59" s="131" t="s">
        <v>677</v>
      </c>
      <c r="C59" s="131" t="s">
        <v>676</v>
      </c>
      <c r="D59" s="131" t="s">
        <v>16</v>
      </c>
      <c r="E59" s="130" t="str">
        <f>VLOOKUP(A59:A287,[1]Coefficients!$A$5:$R$232,5,FALSE)</f>
        <v>Ringvaartweg</v>
      </c>
      <c r="F59" s="131">
        <f>VLOOKUP(A59:A287,[1]Coefficients!$A$5:$R$232,6,FALSE)</f>
        <v>4</v>
      </c>
      <c r="G59" s="131">
        <f>VLOOKUP(A59:A287,[1]Coefficients!$A$5:$R$232,7,FALSE)</f>
        <v>9032</v>
      </c>
      <c r="H59" s="130" t="str">
        <f>VLOOKUP(A59:A287,[1]Coefficients!$A$5:$R$232,8,FALSE)</f>
        <v>WONDELGEM</v>
      </c>
      <c r="I59" s="130" t="s">
        <v>675</v>
      </c>
      <c r="J59" s="131" t="s">
        <v>674</v>
      </c>
      <c r="K59" s="130" t="s">
        <v>13</v>
      </c>
      <c r="L59" s="130" t="s">
        <v>6</v>
      </c>
      <c r="M59" s="130">
        <v>1</v>
      </c>
      <c r="N59" s="130">
        <v>0</v>
      </c>
      <c r="O59" s="130">
        <v>1</v>
      </c>
      <c r="P59" s="131" t="str">
        <f>VLOOKUP(A59:A286,[1]Coefficients!$A$5:$T$232,19,FALSE)</f>
        <v>22ZFL424850----0</v>
      </c>
      <c r="Q59" s="131"/>
      <c r="R59" s="95"/>
    </row>
    <row r="60" spans="1:18" s="94" customFormat="1" ht="20.25" customHeight="1" x14ac:dyDescent="0.2">
      <c r="A60" s="128" t="s">
        <v>671</v>
      </c>
      <c r="B60" s="129" t="s">
        <v>673</v>
      </c>
      <c r="C60" s="129" t="s">
        <v>672</v>
      </c>
      <c r="D60" s="129" t="s">
        <v>16</v>
      </c>
      <c r="E60" s="128" t="str">
        <f>VLOOKUP(A60:A288,[1]Coefficients!$A$5:$R$232,5,FALSE)</f>
        <v>Henry Fordlaan</v>
      </c>
      <c r="F60" s="129">
        <f>VLOOKUP(A60:A288,[1]Coefficients!$A$5:$R$232,6,FALSE)</f>
        <v>9</v>
      </c>
      <c r="G60" s="129">
        <f>VLOOKUP(A60:A288,[1]Coefficients!$A$5:$R$232,7,FALSE)</f>
        <v>3600</v>
      </c>
      <c r="H60" s="128" t="str">
        <f>VLOOKUP(A60:A288,[1]Coefficients!$A$5:$R$232,8,FALSE)</f>
        <v>GENK</v>
      </c>
      <c r="I60" s="128" t="s">
        <v>671</v>
      </c>
      <c r="J60" s="129" t="s">
        <v>670</v>
      </c>
      <c r="K60" s="128" t="s">
        <v>13</v>
      </c>
      <c r="L60" s="128" t="s">
        <v>6</v>
      </c>
      <c r="M60" s="128">
        <v>1</v>
      </c>
      <c r="N60" s="128">
        <v>1</v>
      </c>
      <c r="O60" s="128">
        <v>0</v>
      </c>
      <c r="P60" s="129" t="str">
        <f>VLOOKUP(A60:A287,[1]Coefficients!$A$5:$T$232,19,FALSE)</f>
        <v>22ZFL005612----D</v>
      </c>
      <c r="Q60" s="129"/>
      <c r="R60" s="95"/>
    </row>
    <row r="61" spans="1:18" s="94" customFormat="1" ht="20.25" customHeight="1" x14ac:dyDescent="0.2">
      <c r="A61" s="130" t="s">
        <v>667</v>
      </c>
      <c r="B61" s="131" t="s">
        <v>669</v>
      </c>
      <c r="C61" s="131" t="s">
        <v>668</v>
      </c>
      <c r="D61" s="131" t="s">
        <v>16</v>
      </c>
      <c r="E61" s="130" t="str">
        <f>VLOOKUP(A61:A289,[1]Coefficients!$A$5:$R$232,5,FALSE)</f>
        <v>Pastorijstraat</v>
      </c>
      <c r="F61" s="131">
        <f>VLOOKUP(A61:A289,[1]Coefficients!$A$5:$R$232,6,FALSE)</f>
        <v>249</v>
      </c>
      <c r="G61" s="131">
        <f>VLOOKUP(A61:A289,[1]Coefficients!$A$5:$R$232,7,FALSE)</f>
        <v>3300</v>
      </c>
      <c r="H61" s="130" t="str">
        <f>VLOOKUP(A61:A289,[1]Coefficients!$A$5:$R$232,8,FALSE)</f>
        <v>TIENEN</v>
      </c>
      <c r="I61" s="130" t="s">
        <v>667</v>
      </c>
      <c r="J61" s="131" t="s">
        <v>666</v>
      </c>
      <c r="K61" s="130" t="s">
        <v>13</v>
      </c>
      <c r="L61" s="130" t="s">
        <v>19</v>
      </c>
      <c r="M61" s="130">
        <v>1</v>
      </c>
      <c r="N61" s="128">
        <v>1</v>
      </c>
      <c r="O61" s="130">
        <v>1</v>
      </c>
      <c r="P61" s="131" t="str">
        <f>VLOOKUP(A61:A288,[1]Coefficients!$A$5:$T$232,19,FALSE)</f>
        <v>22ZFL004725----Q</v>
      </c>
      <c r="Q61" s="131"/>
      <c r="R61" s="95"/>
    </row>
    <row r="62" spans="1:18" s="94" customFormat="1" ht="20.25" customHeight="1" x14ac:dyDescent="0.2">
      <c r="A62" s="128" t="s">
        <v>663</v>
      </c>
      <c r="B62" s="129" t="s">
        <v>665</v>
      </c>
      <c r="C62" s="129" t="s">
        <v>664</v>
      </c>
      <c r="D62" s="129" t="s">
        <v>16</v>
      </c>
      <c r="E62" s="128" t="str">
        <f>VLOOKUP(A62:A290,[1]Coefficients!$A$5:$R$232,5,FALSE)</f>
        <v>Avenue Champion (Zoning Industriel)</v>
      </c>
      <c r="F62" s="129">
        <f>VLOOKUP(A62:A290,[1]Coefficients!$A$5:$R$232,6,FALSE)</f>
        <v>15</v>
      </c>
      <c r="G62" s="129">
        <f>VLOOKUP(A62:A290,[1]Coefficients!$A$5:$R$232,7,FALSE)</f>
        <v>6790</v>
      </c>
      <c r="H62" s="128" t="str">
        <f>VLOOKUP(A62:A290,[1]Coefficients!$A$5:$R$232,8,FALSE)</f>
        <v>AUBANGE</v>
      </c>
      <c r="I62" s="128" t="s">
        <v>663</v>
      </c>
      <c r="J62" s="129" t="s">
        <v>662</v>
      </c>
      <c r="K62" s="128" t="s">
        <v>13</v>
      </c>
      <c r="L62" s="128" t="s">
        <v>6</v>
      </c>
      <c r="M62" s="128">
        <v>1</v>
      </c>
      <c r="N62" s="130">
        <v>0</v>
      </c>
      <c r="O62" s="128">
        <v>0</v>
      </c>
      <c r="P62" s="129" t="str">
        <f>VLOOKUP(A62:A289,[1]Coefficients!$A$5:$T$232,19,FALSE)</f>
        <v>22ZFL875530----9</v>
      </c>
      <c r="Q62" s="129"/>
      <c r="R62" s="95"/>
    </row>
    <row r="63" spans="1:18" s="94" customFormat="1" ht="20.25" customHeight="1" x14ac:dyDescent="0.2">
      <c r="A63" s="130" t="s">
        <v>659</v>
      </c>
      <c r="B63" s="131" t="s">
        <v>661</v>
      </c>
      <c r="C63" s="131" t="s">
        <v>660</v>
      </c>
      <c r="D63" s="131" t="s">
        <v>16</v>
      </c>
      <c r="E63" s="130" t="str">
        <f>VLOOKUP(A63:A291,[1]Coefficients!$A$5:$R$232,5,FALSE)</f>
        <v>Wilmansdonksteenweg</v>
      </c>
      <c r="F63" s="131">
        <f>VLOOKUP(A63:A291,[1]Coefficients!$A$5:$R$232,6,FALSE)</f>
        <v>32</v>
      </c>
      <c r="G63" s="131">
        <f>VLOOKUP(A63:A291,[1]Coefficients!$A$5:$R$232,7,FALSE)</f>
        <v>2030</v>
      </c>
      <c r="H63" s="130" t="str">
        <f>VLOOKUP(A63:A291,[1]Coefficients!$A$5:$R$232,8,FALSE)</f>
        <v>ANTWERPEN 3</v>
      </c>
      <c r="I63" s="130" t="s">
        <v>659</v>
      </c>
      <c r="J63" s="131" t="s">
        <v>658</v>
      </c>
      <c r="K63" s="130" t="s">
        <v>13</v>
      </c>
      <c r="L63" s="130" t="s">
        <v>19</v>
      </c>
      <c r="M63" s="130">
        <v>1</v>
      </c>
      <c r="N63" s="130">
        <v>0</v>
      </c>
      <c r="O63" s="130">
        <v>0</v>
      </c>
      <c r="P63" s="131" t="str">
        <f>VLOOKUP(A63:A290,[1]Coefficients!$A$5:$T$232,19,FALSE)</f>
        <v>22ZFL005017----V</v>
      </c>
      <c r="Q63" s="131"/>
      <c r="R63" s="95"/>
    </row>
    <row r="64" spans="1:18" s="94" customFormat="1" ht="20.25" customHeight="1" x14ac:dyDescent="0.2">
      <c r="A64" s="128" t="s">
        <v>655</v>
      </c>
      <c r="B64" s="129" t="s">
        <v>657</v>
      </c>
      <c r="C64" s="129" t="s">
        <v>656</v>
      </c>
      <c r="D64" s="129" t="s">
        <v>16</v>
      </c>
      <c r="E64" s="128" t="str">
        <f>VLOOKUP(A64:A292,[1]Coefficients!$A$5:$R$232,5,FALSE)</f>
        <v>Zwijnaardsesteenweg</v>
      </c>
      <c r="F64" s="129">
        <f>VLOOKUP(A64:A292,[1]Coefficients!$A$5:$R$232,6,FALSE)</f>
        <v>811</v>
      </c>
      <c r="G64" s="129">
        <f>VLOOKUP(A64:A292,[1]Coefficients!$A$5:$R$232,7,FALSE)</f>
        <v>9000</v>
      </c>
      <c r="H64" s="128" t="str">
        <f>VLOOKUP(A64:A292,[1]Coefficients!$A$5:$R$232,8,FALSE)</f>
        <v>GENT</v>
      </c>
      <c r="I64" s="128" t="s">
        <v>655</v>
      </c>
      <c r="J64" s="129" t="s">
        <v>654</v>
      </c>
      <c r="K64" s="128" t="s">
        <v>13</v>
      </c>
      <c r="L64" s="128" t="s">
        <v>6</v>
      </c>
      <c r="M64" s="128">
        <v>1</v>
      </c>
      <c r="N64" s="128">
        <v>1</v>
      </c>
      <c r="O64" s="128">
        <v>1</v>
      </c>
      <c r="P64" s="129" t="str">
        <f>VLOOKUP(A64:A291,[1]Coefficients!$A$5:$T$232,19,FALSE)</f>
        <v>22ZFL421870----D</v>
      </c>
      <c r="Q64" s="129"/>
      <c r="R64" s="95"/>
    </row>
    <row r="65" spans="1:18" s="94" customFormat="1" ht="20.25" customHeight="1" x14ac:dyDescent="0.2">
      <c r="A65" s="130" t="s">
        <v>651</v>
      </c>
      <c r="B65" s="131" t="s">
        <v>653</v>
      </c>
      <c r="C65" s="131" t="s">
        <v>652</v>
      </c>
      <c r="D65" s="131" t="s">
        <v>16</v>
      </c>
      <c r="E65" s="130" t="str">
        <f>VLOOKUP(A65:A293,[1]Coefficients!$A$5:$R$232,5,FALSE)</f>
        <v>Ringvaartweg-Wondelgem</v>
      </c>
      <c r="F65" s="131">
        <f>VLOOKUP(A65:A293,[1]Coefficients!$A$5:$R$232,6,FALSE)</f>
        <v>4</v>
      </c>
      <c r="G65" s="131">
        <f>VLOOKUP(A65:A293,[1]Coefficients!$A$5:$R$232,7,FALSE)</f>
        <v>9032</v>
      </c>
      <c r="H65" s="130" t="str">
        <f>VLOOKUP(A65:A293,[1]Coefficients!$A$5:$R$232,8,FALSE)</f>
        <v>WONDELGEM</v>
      </c>
      <c r="I65" s="130" t="s">
        <v>651</v>
      </c>
      <c r="J65" s="131" t="s">
        <v>650</v>
      </c>
      <c r="K65" s="130" t="s">
        <v>13</v>
      </c>
      <c r="L65" s="130" t="s">
        <v>6</v>
      </c>
      <c r="M65" s="130">
        <v>1</v>
      </c>
      <c r="N65" s="130">
        <v>0</v>
      </c>
      <c r="O65" s="130">
        <v>1</v>
      </c>
      <c r="P65" s="131" t="str">
        <f>VLOOKUP(A65:A292,[1]Coefficients!$A$5:$T$232,19,FALSE)</f>
        <v>22ZFL006145----5</v>
      </c>
      <c r="Q65" s="131"/>
      <c r="R65" s="95"/>
    </row>
    <row r="66" spans="1:18" s="94" customFormat="1" ht="20.25" customHeight="1" x14ac:dyDescent="0.2">
      <c r="A66" s="128" t="s">
        <v>647</v>
      </c>
      <c r="B66" s="129" t="s">
        <v>649</v>
      </c>
      <c r="C66" s="129" t="s">
        <v>648</v>
      </c>
      <c r="D66" s="129" t="s">
        <v>16</v>
      </c>
      <c r="E66" s="128" t="str">
        <f>VLOOKUP(A66:A294,[1]Coefficients!$A$5:$R$232,5,FALSE)</f>
        <v>Van Doornelaan</v>
      </c>
      <c r="F66" s="129">
        <f>VLOOKUP(A66:A294,[1]Coefficients!$A$5:$R$232,6,FALSE)</f>
        <v>1</v>
      </c>
      <c r="G66" s="129">
        <f>VLOOKUP(A66:A294,[1]Coefficients!$A$5:$R$232,7,FALSE)</f>
        <v>2260</v>
      </c>
      <c r="H66" s="128" t="str">
        <f>VLOOKUP(A66:A294,[1]Coefficients!$A$5:$R$232,8,FALSE)</f>
        <v>WESTERLO</v>
      </c>
      <c r="I66" s="128" t="s">
        <v>647</v>
      </c>
      <c r="J66" s="129" t="s">
        <v>646</v>
      </c>
      <c r="K66" s="128" t="s">
        <v>13</v>
      </c>
      <c r="L66" s="128" t="s">
        <v>6</v>
      </c>
      <c r="M66" s="128">
        <v>1</v>
      </c>
      <c r="N66" s="130">
        <v>0</v>
      </c>
      <c r="O66" s="128">
        <v>0</v>
      </c>
      <c r="P66" s="129" t="str">
        <f>VLOOKUP(A66:A293,[1]Coefficients!$A$5:$T$232,19,FALSE)</f>
        <v>22ZFL180710----8</v>
      </c>
      <c r="Q66" s="129" t="str">
        <f>VLOOKUP(A66:A293,[1]Coefficients!$A$5:$T$232,20,FALSE)</f>
        <v>01/09/2015 - Done</v>
      </c>
      <c r="R66" s="95"/>
    </row>
    <row r="67" spans="1:18" s="94" customFormat="1" ht="20.25" customHeight="1" x14ac:dyDescent="0.2">
      <c r="A67" s="130" t="s">
        <v>643</v>
      </c>
      <c r="B67" s="131" t="s">
        <v>645</v>
      </c>
      <c r="C67" s="131" t="s">
        <v>644</v>
      </c>
      <c r="D67" s="131" t="s">
        <v>16</v>
      </c>
      <c r="E67" s="130" t="str">
        <f>VLOOKUP(A67:A295,[1]Coefficients!$A$5:$R$232,5,FALSE)</f>
        <v>Scheepzatestraat</v>
      </c>
      <c r="F67" s="131">
        <f>VLOOKUP(A67:A295,[1]Coefficients!$A$5:$R$232,6,FALSE)</f>
        <v>100</v>
      </c>
      <c r="G67" s="131">
        <f>VLOOKUP(A67:A295,[1]Coefficients!$A$5:$R$232,7,FALSE)</f>
        <v>9000</v>
      </c>
      <c r="H67" s="130" t="str">
        <f>VLOOKUP(A67:A295,[1]Coefficients!$A$5:$R$232,8,FALSE)</f>
        <v>GENT</v>
      </c>
      <c r="I67" s="130" t="s">
        <v>643</v>
      </c>
      <c r="J67" s="131" t="s">
        <v>642</v>
      </c>
      <c r="K67" s="130" t="s">
        <v>13</v>
      </c>
      <c r="L67" s="130" t="s">
        <v>6</v>
      </c>
      <c r="M67" s="130">
        <v>1</v>
      </c>
      <c r="N67" s="128">
        <v>1</v>
      </c>
      <c r="O67" s="130">
        <v>1</v>
      </c>
      <c r="P67" s="131" t="str">
        <f>VLOOKUP(A67:A294,[1]Coefficients!$A$5:$T$232,19,FALSE)</f>
        <v>22ZFL005016----0</v>
      </c>
      <c r="Q67" s="131"/>
      <c r="R67" s="95"/>
    </row>
    <row r="68" spans="1:18" s="94" customFormat="1" ht="20.25" customHeight="1" x14ac:dyDescent="0.2">
      <c r="A68" s="128" t="s">
        <v>639</v>
      </c>
      <c r="B68" s="129" t="s">
        <v>641</v>
      </c>
      <c r="C68" s="129" t="s">
        <v>640</v>
      </c>
      <c r="D68" s="129" t="s">
        <v>16</v>
      </c>
      <c r="E68" s="128" t="str">
        <f>VLOOKUP(A68:A296,[1]Coefficients!$A$5:$R$232,5,FALSE)</f>
        <v>Antwerpselaan</v>
      </c>
      <c r="F68" s="129" t="str">
        <f>VLOOKUP(A68:A296,[1]Coefficients!$A$5:$R$232,6,FALSE)</f>
        <v>z/n</v>
      </c>
      <c r="G68" s="129">
        <f>VLOOKUP(A68:A296,[1]Coefficients!$A$5:$R$232,7,FALSE)</f>
        <v>1850</v>
      </c>
      <c r="H68" s="128" t="str">
        <f>VLOOKUP(A68:A296,[1]Coefficients!$A$5:$R$232,8,FALSE)</f>
        <v>GRIMBERGEN</v>
      </c>
      <c r="I68" s="128" t="s">
        <v>639</v>
      </c>
      <c r="J68" s="129" t="s">
        <v>638</v>
      </c>
      <c r="K68" s="128" t="s">
        <v>13</v>
      </c>
      <c r="L68" s="128" t="s">
        <v>19</v>
      </c>
      <c r="M68" s="128">
        <v>1</v>
      </c>
      <c r="N68" s="130">
        <v>0</v>
      </c>
      <c r="O68" s="128">
        <v>0</v>
      </c>
      <c r="P68" s="129" t="str">
        <f>VLOOKUP(A68:A295,[1]Coefficients!$A$5:$T$232,19,FALSE)</f>
        <v>22ZFL301350----O</v>
      </c>
      <c r="Q68" s="129"/>
      <c r="R68" s="95"/>
    </row>
    <row r="69" spans="1:18" s="94" customFormat="1" ht="20.25" customHeight="1" x14ac:dyDescent="0.2">
      <c r="A69" s="130" t="s">
        <v>637</v>
      </c>
      <c r="B69" s="131" t="s">
        <v>636</v>
      </c>
      <c r="C69" s="131" t="s">
        <v>635</v>
      </c>
      <c r="D69" s="131" t="s">
        <v>16</v>
      </c>
      <c r="E69" s="130" t="str">
        <f>VLOOKUP(A69:A297,[1]Coefficients!$A$5:$R$232,5,FALSE)</f>
        <v>rue Surface</v>
      </c>
      <c r="F69" s="131" t="str">
        <f>VLOOKUP(A69:A297,[1]Coefficients!$A$5:$R$232,6,FALSE)</f>
        <v>z/n</v>
      </c>
      <c r="G69" s="131">
        <f>VLOOKUP(A69:A297,[1]Coefficients!$A$5:$R$232,7,FALSE)</f>
        <v>4480</v>
      </c>
      <c r="H69" s="130" t="str">
        <f>VLOOKUP(A69:A297,[1]Coefficients!$A$5:$R$232,8,FALSE)</f>
        <v>ENGIS</v>
      </c>
      <c r="I69" s="130" t="s">
        <v>634</v>
      </c>
      <c r="J69" s="131" t="s">
        <v>633</v>
      </c>
      <c r="K69" s="130" t="s">
        <v>13</v>
      </c>
      <c r="L69" s="130" t="s">
        <v>6</v>
      </c>
      <c r="M69" s="130">
        <v>1</v>
      </c>
      <c r="N69" s="130">
        <v>0</v>
      </c>
      <c r="O69" s="130">
        <v>0</v>
      </c>
      <c r="P69" s="131" t="str">
        <f>VLOOKUP(A69:A296,[1]Coefficients!$A$5:$T$232,19,FALSE)</f>
        <v>22ZFL004781----8</v>
      </c>
      <c r="Q69" s="131"/>
      <c r="R69" s="95"/>
    </row>
    <row r="70" spans="1:18" s="94" customFormat="1" ht="20.25" customHeight="1" x14ac:dyDescent="0.2">
      <c r="A70" s="128" t="s">
        <v>630</v>
      </c>
      <c r="B70" s="129" t="s">
        <v>632</v>
      </c>
      <c r="C70" s="129" t="s">
        <v>631</v>
      </c>
      <c r="D70" s="129" t="s">
        <v>16</v>
      </c>
      <c r="E70" s="128" t="str">
        <f>VLOOKUP(A70:A298,[1]Coefficients!$A$5:$R$232,5,FALSE)</f>
        <v>Rue Mademoiselle Hanicq</v>
      </c>
      <c r="F70" s="129">
        <f>VLOOKUP(A70:A298,[1]Coefficients!$A$5:$R$232,6,FALSE)</f>
        <v>39</v>
      </c>
      <c r="G70" s="129">
        <f>VLOOKUP(A70:A298,[1]Coefficients!$A$5:$R$232,7,FALSE)</f>
        <v>7060</v>
      </c>
      <c r="H70" s="128" t="str">
        <f>VLOOKUP(A70:A298,[1]Coefficients!$A$5:$R$232,8,FALSE)</f>
        <v>SOIGNIES</v>
      </c>
      <c r="I70" s="128" t="s">
        <v>630</v>
      </c>
      <c r="J70" s="129" t="s">
        <v>629</v>
      </c>
      <c r="K70" s="128" t="s">
        <v>13</v>
      </c>
      <c r="L70" s="128" t="s">
        <v>19</v>
      </c>
      <c r="M70" s="128">
        <v>1</v>
      </c>
      <c r="N70" s="128">
        <v>1</v>
      </c>
      <c r="O70" s="128">
        <v>1</v>
      </c>
      <c r="P70" s="129" t="str">
        <f>VLOOKUP(A70:A297,[1]Coefficients!$A$5:$T$232,19,FALSE)</f>
        <v>22ZFL004734----P</v>
      </c>
      <c r="Q70" s="129"/>
      <c r="R70" s="95"/>
    </row>
    <row r="71" spans="1:18" s="94" customFormat="1" ht="20.25" customHeight="1" x14ac:dyDescent="0.2">
      <c r="A71" s="130" t="s">
        <v>626</v>
      </c>
      <c r="B71" s="131" t="s">
        <v>628</v>
      </c>
      <c r="C71" s="131" t="s">
        <v>627</v>
      </c>
      <c r="D71" s="131" t="s">
        <v>16</v>
      </c>
      <c r="E71" s="130" t="str">
        <f>VLOOKUP(A71:A299,[1]Coefficients!$A$5:$R$232,5,FALSE)</f>
        <v>Posthoflei</v>
      </c>
      <c r="F71" s="131" t="str">
        <f>VLOOKUP(A71:A299,[1]Coefficients!$A$5:$R$232,6,FALSE)</f>
        <v>3 bus 3</v>
      </c>
      <c r="G71" s="131">
        <f>VLOOKUP(A71:A299,[1]Coefficients!$A$5:$R$232,7,FALSE)</f>
        <v>2600</v>
      </c>
      <c r="H71" s="130" t="str">
        <f>VLOOKUP(A71:A299,[1]Coefficients!$A$5:$R$232,8,FALSE)</f>
        <v>BERCHEM</v>
      </c>
      <c r="I71" s="130" t="s">
        <v>626</v>
      </c>
      <c r="J71" s="131" t="s">
        <v>625</v>
      </c>
      <c r="K71" s="130" t="s">
        <v>13</v>
      </c>
      <c r="L71" s="130" t="s">
        <v>6</v>
      </c>
      <c r="M71" s="130">
        <v>1</v>
      </c>
      <c r="N71" s="130">
        <v>0</v>
      </c>
      <c r="O71" s="130">
        <v>0</v>
      </c>
      <c r="P71" s="131" t="str">
        <f>VLOOKUP(A71:A298,[1]Coefficients!$A$5:$T$232,19,FALSE)</f>
        <v>57ZFL007298----Y</v>
      </c>
      <c r="Q71" s="131"/>
      <c r="R71" s="95"/>
    </row>
    <row r="72" spans="1:18" s="94" customFormat="1" ht="20.25" customHeight="1" x14ac:dyDescent="0.2">
      <c r="A72" s="128" t="s">
        <v>622</v>
      </c>
      <c r="B72" s="129" t="s">
        <v>624</v>
      </c>
      <c r="C72" s="129" t="s">
        <v>623</v>
      </c>
      <c r="D72" s="129" t="s">
        <v>16</v>
      </c>
      <c r="E72" s="128" t="str">
        <f>VLOOKUP(A72:A300,[1]Coefficients!$A$5:$R$232,5,FALSE)</f>
        <v>Rue Carbo</v>
      </c>
      <c r="F72" s="129">
        <f>VLOOKUP(A72:A300,[1]Coefficients!$A$5:$R$232,6,FALSE)</f>
        <v>9</v>
      </c>
      <c r="G72" s="129">
        <f>VLOOKUP(A72:A300,[1]Coefficients!$A$5:$R$232,7,FALSE)</f>
        <v>7333</v>
      </c>
      <c r="H72" s="128" t="str">
        <f>VLOOKUP(A72:A300,[1]Coefficients!$A$5:$R$232,8,FALSE)</f>
        <v>TERTRE</v>
      </c>
      <c r="I72" s="128" t="s">
        <v>622</v>
      </c>
      <c r="J72" s="129" t="s">
        <v>621</v>
      </c>
      <c r="K72" s="128" t="s">
        <v>13</v>
      </c>
      <c r="L72" s="128" t="s">
        <v>6</v>
      </c>
      <c r="M72" s="128">
        <v>1</v>
      </c>
      <c r="N72" s="128">
        <v>1</v>
      </c>
      <c r="O72" s="128">
        <v>1</v>
      </c>
      <c r="P72" s="129" t="str">
        <f>VLOOKUP(A72:A299,[1]Coefficients!$A$5:$T$232,19,FALSE)</f>
        <v>22ZFL004749----P</v>
      </c>
      <c r="Q72" s="129"/>
      <c r="R72" s="95"/>
    </row>
    <row r="73" spans="1:18" s="94" customFormat="1" ht="20.25" customHeight="1" x14ac:dyDescent="0.2">
      <c r="A73" s="130" t="s">
        <v>618</v>
      </c>
      <c r="B73" s="131" t="s">
        <v>620</v>
      </c>
      <c r="C73" s="131" t="s">
        <v>619</v>
      </c>
      <c r="D73" s="131" t="s">
        <v>16</v>
      </c>
      <c r="E73" s="130" t="str">
        <f>VLOOKUP(A73:A301,[1]Coefficients!$A$5:$R$232,5,FALSE)</f>
        <v>Rue de la Papeterie</v>
      </c>
      <c r="F73" s="131">
        <f>VLOOKUP(A73:A301,[1]Coefficients!$A$5:$R$232,6,FALSE)</f>
        <v>2</v>
      </c>
      <c r="G73" s="131">
        <f>VLOOKUP(A73:A301,[1]Coefficients!$A$5:$R$232,7,FALSE)</f>
        <v>4801</v>
      </c>
      <c r="H73" s="130" t="str">
        <f>VLOOKUP(A73:A301,[1]Coefficients!$A$5:$R$232,8,FALSE)</f>
        <v>STEMBERT</v>
      </c>
      <c r="I73" s="130" t="s">
        <v>618</v>
      </c>
      <c r="J73" s="131" t="s">
        <v>617</v>
      </c>
      <c r="K73" s="130" t="s">
        <v>13</v>
      </c>
      <c r="L73" s="130" t="s">
        <v>6</v>
      </c>
      <c r="M73" s="130">
        <v>1</v>
      </c>
      <c r="N73" s="128">
        <v>1</v>
      </c>
      <c r="O73" s="130">
        <v>1</v>
      </c>
      <c r="P73" s="131" t="str">
        <f>VLOOKUP(A73:A300,[1]Coefficients!$A$5:$T$232,19,FALSE)</f>
        <v>22ZFL004777----G</v>
      </c>
      <c r="Q73" s="131"/>
      <c r="R73" s="95"/>
    </row>
    <row r="74" spans="1:18" s="94" customFormat="1" ht="20.25" customHeight="1" x14ac:dyDescent="0.2">
      <c r="A74" s="128" t="s">
        <v>614</v>
      </c>
      <c r="B74" s="129" t="s">
        <v>616</v>
      </c>
      <c r="C74" s="129" t="s">
        <v>615</v>
      </c>
      <c r="D74" s="129" t="s">
        <v>16</v>
      </c>
      <c r="E74" s="128" t="str">
        <f>VLOOKUP(A74:A302,[1]Coefficients!$A$5:$R$232,5,FALSE)</f>
        <v>Huttekensstraat</v>
      </c>
      <c r="F74" s="129">
        <f>VLOOKUP(A74:A302,[1]Coefficients!$A$5:$R$232,6,FALSE)</f>
        <v>31</v>
      </c>
      <c r="G74" s="129">
        <f>VLOOKUP(A74:A302,[1]Coefficients!$A$5:$R$232,7,FALSE)</f>
        <v>1880</v>
      </c>
      <c r="H74" s="128" t="str">
        <f>VLOOKUP(A74:A302,[1]Coefficients!$A$5:$R$232,8,FALSE)</f>
        <v>KAPELLE-OP-DEN-BOS</v>
      </c>
      <c r="I74" s="128" t="s">
        <v>614</v>
      </c>
      <c r="J74" s="129" t="s">
        <v>613</v>
      </c>
      <c r="K74" s="128" t="s">
        <v>13</v>
      </c>
      <c r="L74" s="128" t="s">
        <v>19</v>
      </c>
      <c r="M74" s="128">
        <v>1</v>
      </c>
      <c r="N74" s="130">
        <v>0</v>
      </c>
      <c r="O74" s="128">
        <v>0</v>
      </c>
      <c r="P74" s="129" t="str">
        <f>VLOOKUP(A74:A301,[1]Coefficients!$A$5:$T$232,19,FALSE)</f>
        <v>22ZFL004728----8</v>
      </c>
      <c r="Q74" s="129"/>
      <c r="R74" s="95"/>
    </row>
    <row r="75" spans="1:18" s="94" customFormat="1" ht="20.25" customHeight="1" x14ac:dyDescent="0.2">
      <c r="A75" s="130" t="s">
        <v>610</v>
      </c>
      <c r="B75" s="131" t="s">
        <v>612</v>
      </c>
      <c r="C75" s="131" t="s">
        <v>611</v>
      </c>
      <c r="D75" s="131" t="s">
        <v>16</v>
      </c>
      <c r="E75" s="130" t="str">
        <f>VLOOKUP(A75:A303,[1]Coefficients!$A$5:$R$232,5,FALSE)</f>
        <v>Rue de chenée</v>
      </c>
      <c r="F75" s="131">
        <f>VLOOKUP(A75:A303,[1]Coefficients!$A$5:$R$232,6,FALSE)</f>
        <v>53</v>
      </c>
      <c r="G75" s="131">
        <f>VLOOKUP(A75:A303,[1]Coefficients!$A$5:$R$232,7,FALSE)</f>
        <v>4031</v>
      </c>
      <c r="H75" s="130" t="str">
        <f>VLOOKUP(A75:A303,[1]Coefficients!$A$5:$R$232,8,FALSE)</f>
        <v>ANGLEUR</v>
      </c>
      <c r="I75" s="130" t="s">
        <v>610</v>
      </c>
      <c r="J75" s="131" t="s">
        <v>609</v>
      </c>
      <c r="K75" s="130" t="s">
        <v>13</v>
      </c>
      <c r="L75" s="130" t="s">
        <v>6</v>
      </c>
      <c r="M75" s="130">
        <v>1</v>
      </c>
      <c r="N75" s="128">
        <v>1</v>
      </c>
      <c r="O75" s="130">
        <v>1</v>
      </c>
      <c r="P75" s="131" t="str">
        <f>VLOOKUP(A75:A302,[1]Coefficients!$A$5:$T$232,19,FALSE)</f>
        <v>22ZFL836570----C</v>
      </c>
      <c r="Q75" s="131"/>
      <c r="R75" s="95"/>
    </row>
    <row r="76" spans="1:18" s="94" customFormat="1" ht="20.25" customHeight="1" x14ac:dyDescent="0.2">
      <c r="A76" s="128" t="s">
        <v>608</v>
      </c>
      <c r="B76" s="129" t="s">
        <v>607</v>
      </c>
      <c r="C76" s="129" t="s">
        <v>606</v>
      </c>
      <c r="D76" s="129" t="s">
        <v>16</v>
      </c>
      <c r="E76" s="128" t="str">
        <f>VLOOKUP(A76:A304,[1]Coefficients!$A$5:$R$232,5,FALSE)</f>
        <v>Tijsmanstunnel West</v>
      </c>
      <c r="F76" s="129" t="str">
        <f>VLOOKUP(A76:A304,[1]Coefficients!$A$5:$R$232,6,FALSE)</f>
        <v>z/n</v>
      </c>
      <c r="G76" s="129">
        <f>VLOOKUP(A76:A304,[1]Coefficients!$A$5:$R$232,7,FALSE)</f>
        <v>2040</v>
      </c>
      <c r="H76" s="128" t="str">
        <f>VLOOKUP(A76:A304,[1]Coefficients!$A$5:$R$232,8,FALSE)</f>
        <v>ANTWERPEN</v>
      </c>
      <c r="I76" s="128" t="s">
        <v>300</v>
      </c>
      <c r="J76" s="129" t="s">
        <v>299</v>
      </c>
      <c r="K76" s="128" t="s">
        <v>13</v>
      </c>
      <c r="L76" s="128" t="s">
        <v>6</v>
      </c>
      <c r="M76" s="128">
        <v>1</v>
      </c>
      <c r="N76" s="130">
        <v>0</v>
      </c>
      <c r="O76" s="128">
        <v>0</v>
      </c>
      <c r="P76" s="129" t="str">
        <f>VLOOKUP(A76:A303,[1]Coefficients!$A$5:$T$232,19,FALSE)</f>
        <v>22ZFL004718----F</v>
      </c>
      <c r="Q76" s="129"/>
      <c r="R76" s="95"/>
    </row>
    <row r="77" spans="1:18" s="94" customFormat="1" ht="20.25" customHeight="1" x14ac:dyDescent="0.2">
      <c r="A77" s="130" t="s">
        <v>603</v>
      </c>
      <c r="B77" s="131" t="s">
        <v>605</v>
      </c>
      <c r="C77" s="131" t="s">
        <v>604</v>
      </c>
      <c r="D77" s="131" t="s">
        <v>16</v>
      </c>
      <c r="E77" s="130" t="str">
        <f>VLOOKUP(A77:A305,[1]Coefficients!$A$5:$R$232,5,FALSE)</f>
        <v>Haven 1007 - Canadastraat</v>
      </c>
      <c r="F77" s="131">
        <f>VLOOKUP(A77:A305,[1]Coefficients!$A$5:$R$232,6,FALSE)</f>
        <v>20</v>
      </c>
      <c r="G77" s="131">
        <f>VLOOKUP(A77:A305,[1]Coefficients!$A$5:$R$232,7,FALSE)</f>
        <v>2070</v>
      </c>
      <c r="H77" s="130" t="str">
        <f>VLOOKUP(A77:A305,[1]Coefficients!$A$5:$R$232,8,FALSE)</f>
        <v>ZWIJNDRECHT</v>
      </c>
      <c r="I77" s="130" t="s">
        <v>603</v>
      </c>
      <c r="J77" s="131" t="s">
        <v>602</v>
      </c>
      <c r="K77" s="130" t="s">
        <v>13</v>
      </c>
      <c r="L77" s="130" t="s">
        <v>6</v>
      </c>
      <c r="M77" s="130">
        <v>1</v>
      </c>
      <c r="N77" s="130">
        <v>0</v>
      </c>
      <c r="O77" s="130">
        <v>0</v>
      </c>
      <c r="P77" s="131" t="str">
        <f>VLOOKUP(A77:A304,[1]Coefficients!$A$5:$T$232,19,FALSE)</f>
        <v>22ZFL004716----R</v>
      </c>
      <c r="Q77" s="131"/>
      <c r="R77" s="95"/>
    </row>
    <row r="78" spans="1:18" s="94" customFormat="1" ht="20.25" customHeight="1" x14ac:dyDescent="0.2">
      <c r="A78" s="128" t="s">
        <v>599</v>
      </c>
      <c r="B78" s="129" t="s">
        <v>601</v>
      </c>
      <c r="C78" s="129" t="s">
        <v>600</v>
      </c>
      <c r="D78" s="129" t="s">
        <v>16</v>
      </c>
      <c r="E78" s="128" t="str">
        <f>VLOOKUP(A78:A306,[1]Coefficients!$A$5:$R$232,5,FALSE)</f>
        <v>Biezenhoed</v>
      </c>
      <c r="F78" s="129">
        <f>VLOOKUP(A78:A306,[1]Coefficients!$A$5:$R$232,6,FALSE)</f>
        <v>2</v>
      </c>
      <c r="G78" s="129">
        <f>VLOOKUP(A78:A306,[1]Coefficients!$A$5:$R$232,7,FALSE)</f>
        <v>2450</v>
      </c>
      <c r="H78" s="128" t="str">
        <f>VLOOKUP(A78:A306,[1]Coefficients!$A$5:$R$232,8,FALSE)</f>
        <v>MEERHOUT</v>
      </c>
      <c r="I78" s="128" t="s">
        <v>599</v>
      </c>
      <c r="J78" s="129" t="s">
        <v>598</v>
      </c>
      <c r="K78" s="128" t="s">
        <v>13</v>
      </c>
      <c r="L78" s="128" t="s">
        <v>6</v>
      </c>
      <c r="M78" s="128">
        <v>1</v>
      </c>
      <c r="N78" s="130">
        <v>0</v>
      </c>
      <c r="O78" s="128">
        <v>0</v>
      </c>
      <c r="P78" s="129" t="str">
        <f>VLOOKUP(A78:A305,[1]Coefficients!$A$5:$T$232,19,FALSE)</f>
        <v>22ZFL004701----R</v>
      </c>
      <c r="Q78" s="129" t="str">
        <f>VLOOKUP(A78:A305,[1]Coefficients!$A$5:$T$232,20,FALSE)</f>
        <v>01/09/2015 - Done</v>
      </c>
      <c r="R78" s="95"/>
    </row>
    <row r="79" spans="1:18" s="94" customFormat="1" ht="20.25" customHeight="1" x14ac:dyDescent="0.2">
      <c r="A79" s="130" t="s">
        <v>595</v>
      </c>
      <c r="B79" s="131" t="s">
        <v>597</v>
      </c>
      <c r="C79" s="131" t="s">
        <v>596</v>
      </c>
      <c r="D79" s="131" t="s">
        <v>16</v>
      </c>
      <c r="E79" s="130" t="str">
        <f>VLOOKUP(A79:A307,[1]Coefficients!$A$5:$R$232,5,FALSE)</f>
        <v>Scheldelaan - haven 447</v>
      </c>
      <c r="F79" s="131">
        <f>VLOOKUP(A79:A307,[1]Coefficients!$A$5:$R$232,6,FALSE)</f>
        <v>8</v>
      </c>
      <c r="G79" s="131">
        <f>VLOOKUP(A79:A307,[1]Coefficients!$A$5:$R$232,7,FALSE)</f>
        <v>2030</v>
      </c>
      <c r="H79" s="130" t="str">
        <f>VLOOKUP(A79:A307,[1]Coefficients!$A$5:$R$232,8,FALSE)</f>
        <v xml:space="preserve">ANTWERPEN </v>
      </c>
      <c r="I79" s="130" t="s">
        <v>595</v>
      </c>
      <c r="J79" s="131" t="s">
        <v>594</v>
      </c>
      <c r="K79" s="130" t="s">
        <v>7</v>
      </c>
      <c r="L79" s="130" t="s">
        <v>6</v>
      </c>
      <c r="M79" s="130">
        <v>1</v>
      </c>
      <c r="N79" s="130">
        <v>0</v>
      </c>
      <c r="O79" s="130">
        <v>0</v>
      </c>
      <c r="P79" s="131" t="str">
        <f>VLOOKUP(A79:A306,[1]Coefficients!$A$5:$T$232,19,FALSE)</f>
        <v>22ZFL005921----P</v>
      </c>
      <c r="Q79" s="131"/>
      <c r="R79" s="95"/>
    </row>
    <row r="80" spans="1:18" s="94" customFormat="1" ht="20.25" customHeight="1" x14ac:dyDescent="0.2">
      <c r="A80" s="128" t="s">
        <v>591</v>
      </c>
      <c r="B80" s="129" t="s">
        <v>593</v>
      </c>
      <c r="C80" s="129" t="s">
        <v>592</v>
      </c>
      <c r="D80" s="129" t="s">
        <v>16</v>
      </c>
      <c r="E80" s="128" t="str">
        <f>VLOOKUP(A80:A308,[1]Coefficients!$A$5:$R$232,5,FALSE)</f>
        <v>Rue Voie de Liège</v>
      </c>
      <c r="F80" s="129">
        <f>VLOOKUP(A80:A308,[1]Coefficients!$A$5:$R$232,6,FALSE)</f>
        <v>33</v>
      </c>
      <c r="G80" s="129">
        <f>VLOOKUP(A80:A308,[1]Coefficients!$A$5:$R$232,7,FALSE)</f>
        <v>4040</v>
      </c>
      <c r="H80" s="128" t="str">
        <f>VLOOKUP(A80:A308,[1]Coefficients!$A$5:$R$232,8,FALSE)</f>
        <v>HERSTAL</v>
      </c>
      <c r="I80" s="128" t="s">
        <v>591</v>
      </c>
      <c r="J80" s="129" t="s">
        <v>590</v>
      </c>
      <c r="K80" s="128" t="s">
        <v>13</v>
      </c>
      <c r="L80" s="128" t="s">
        <v>6</v>
      </c>
      <c r="M80" s="128">
        <v>1</v>
      </c>
      <c r="N80" s="128">
        <v>1</v>
      </c>
      <c r="O80" s="128">
        <v>1</v>
      </c>
      <c r="P80" s="129" t="str">
        <f>VLOOKUP(A80:A307,[1]Coefficients!$A$5:$T$232,19,FALSE)</f>
        <v>22ZFL833210----V</v>
      </c>
      <c r="Q80" s="129"/>
      <c r="R80" s="95"/>
    </row>
    <row r="81" spans="1:18" s="94" customFormat="1" ht="20.25" customHeight="1" x14ac:dyDescent="0.2">
      <c r="A81" s="130" t="s">
        <v>589</v>
      </c>
      <c r="B81" s="131" t="s">
        <v>1036</v>
      </c>
      <c r="C81" s="131" t="s">
        <v>1037</v>
      </c>
      <c r="D81" s="131" t="s">
        <v>16</v>
      </c>
      <c r="E81" s="130" t="str">
        <f>VLOOKUP(A81:A309,[1]Coefficients!$A$5:$R$232,5,FALSE)</f>
        <v>Maatheide</v>
      </c>
      <c r="F81" s="131" t="str">
        <f>VLOOKUP(A81:A309,[1]Coefficients!$A$5:$R$232,6,FALSE)</f>
        <v>74 bus A</v>
      </c>
      <c r="G81" s="131">
        <f>VLOOKUP(A81:A309,[1]Coefficients!$A$5:$R$232,7,FALSE)</f>
        <v>3920</v>
      </c>
      <c r="H81" s="130" t="str">
        <f>VLOOKUP(A81:A309,[1]Coefficients!$A$5:$R$232,8,FALSE)</f>
        <v>LOMMEL</v>
      </c>
      <c r="I81" s="130" t="s">
        <v>589</v>
      </c>
      <c r="J81" s="131" t="s">
        <v>588</v>
      </c>
      <c r="K81" s="130" t="s">
        <v>13</v>
      </c>
      <c r="L81" s="130" t="s">
        <v>6</v>
      </c>
      <c r="M81" s="130">
        <v>1</v>
      </c>
      <c r="N81" s="130">
        <v>0</v>
      </c>
      <c r="O81" s="130">
        <v>0</v>
      </c>
      <c r="P81" s="131" t="str">
        <f>VLOOKUP(A81:A308,[1]Coefficients!$A$5:$T$232,19,FALSE)</f>
        <v>57ZFL007352----G</v>
      </c>
      <c r="Q81" s="131"/>
      <c r="R81" s="95"/>
    </row>
    <row r="82" spans="1:18" s="94" customFormat="1" ht="20.25" customHeight="1" x14ac:dyDescent="0.2">
      <c r="A82" s="128" t="s">
        <v>582</v>
      </c>
      <c r="B82" s="129" t="s">
        <v>584</v>
      </c>
      <c r="C82" s="129" t="s">
        <v>583</v>
      </c>
      <c r="D82" s="129" t="s">
        <v>16</v>
      </c>
      <c r="E82" s="128" t="str">
        <f>VLOOKUP(A82:A310,[1]Coefficients!$A$5:$R$232,5,FALSE)</f>
        <v>HAVEN 1938 - Molenweg</v>
      </c>
      <c r="F82" s="129" t="str">
        <f>VLOOKUP(A82:A310,[1]Coefficients!$A$5:$R$232,6,FALSE)</f>
        <v>z/n</v>
      </c>
      <c r="G82" s="129">
        <f>VLOOKUP(A82:A310,[1]Coefficients!$A$5:$R$232,7,FALSE)</f>
        <v>9130</v>
      </c>
      <c r="H82" s="128" t="str">
        <f>VLOOKUP(A82:A310,[1]Coefficients!$A$5:$R$232,8,FALSE)</f>
        <v>KALLO</v>
      </c>
      <c r="I82" s="128" t="s">
        <v>582</v>
      </c>
      <c r="J82" s="129" t="s">
        <v>581</v>
      </c>
      <c r="K82" s="128" t="s">
        <v>13</v>
      </c>
      <c r="L82" s="128" t="s">
        <v>6</v>
      </c>
      <c r="M82" s="128">
        <v>1</v>
      </c>
      <c r="N82" s="130">
        <v>0</v>
      </c>
      <c r="O82" s="128">
        <v>0</v>
      </c>
      <c r="P82" s="129" t="str">
        <f>VLOOKUP(A82:A309,[1]Coefficients!$A$5:$T$232,19,FALSE)</f>
        <v>22ZFL428950----U</v>
      </c>
      <c r="Q82" s="129"/>
      <c r="R82" s="95"/>
    </row>
    <row r="83" spans="1:18" s="94" customFormat="1" ht="20.25" customHeight="1" x14ac:dyDescent="0.2">
      <c r="A83" s="130" t="s">
        <v>578</v>
      </c>
      <c r="B83" s="131" t="s">
        <v>580</v>
      </c>
      <c r="C83" s="131" t="s">
        <v>579</v>
      </c>
      <c r="D83" s="131" t="s">
        <v>16</v>
      </c>
      <c r="E83" s="130" t="str">
        <f>VLOOKUP(A83:A311,[1]Coefficients!$A$5:$R$232,5,FALSE)</f>
        <v>Kuhlmannkaai</v>
      </c>
      <c r="F83" s="131">
        <f>VLOOKUP(A83:A311,[1]Coefficients!$A$5:$R$232,6,FALSE)</f>
        <v>36</v>
      </c>
      <c r="G83" s="131">
        <f>VLOOKUP(A83:A311,[1]Coefficients!$A$5:$R$232,7,FALSE)</f>
        <v>9042</v>
      </c>
      <c r="H83" s="130" t="str">
        <f>VLOOKUP(A83:A311,[1]Coefficients!$A$5:$R$232,8,FALSE)</f>
        <v>GENT</v>
      </c>
      <c r="I83" s="130" t="s">
        <v>578</v>
      </c>
      <c r="J83" s="131" t="s">
        <v>577</v>
      </c>
      <c r="K83" s="130" t="s">
        <v>13</v>
      </c>
      <c r="L83" s="130" t="s">
        <v>6</v>
      </c>
      <c r="M83" s="130">
        <v>1</v>
      </c>
      <c r="N83" s="130">
        <v>0</v>
      </c>
      <c r="O83" s="130">
        <v>0</v>
      </c>
      <c r="P83" s="131" t="str">
        <f>VLOOKUP(A83:A310,[1]Coefficients!$A$5:$T$232,19,FALSE)</f>
        <v>22ZFL005013----I</v>
      </c>
      <c r="Q83" s="131"/>
      <c r="R83" s="95"/>
    </row>
    <row r="84" spans="1:18" s="94" customFormat="1" ht="20.25" customHeight="1" x14ac:dyDescent="0.2">
      <c r="A84" s="128" t="s">
        <v>574</v>
      </c>
      <c r="B84" s="129" t="s">
        <v>576</v>
      </c>
      <c r="C84" s="129" t="s">
        <v>575</v>
      </c>
      <c r="D84" s="129" t="s">
        <v>16</v>
      </c>
      <c r="E84" s="128" t="str">
        <f>VLOOKUP(A84:A312,[1]Coefficients!$A$5:$R$232,5,FALSE)</f>
        <v>Rue des Roseaux</v>
      </c>
      <c r="F84" s="129">
        <f>VLOOKUP(A84:A312,[1]Coefficients!$A$5:$R$232,6,FALSE)</f>
        <v>1</v>
      </c>
      <c r="G84" s="129">
        <f>VLOOKUP(A84:A312,[1]Coefficients!$A$5:$R$232,7,FALSE)</f>
        <v>7331</v>
      </c>
      <c r="H84" s="128" t="str">
        <f>VLOOKUP(A84:A312,[1]Coefficients!$A$5:$R$232,8,FALSE)</f>
        <v>BAUDOUR</v>
      </c>
      <c r="I84" s="128" t="s">
        <v>574</v>
      </c>
      <c r="J84" s="129" t="s">
        <v>573</v>
      </c>
      <c r="K84" s="128" t="s">
        <v>13</v>
      </c>
      <c r="L84" s="128" t="s">
        <v>6</v>
      </c>
      <c r="M84" s="128">
        <v>1</v>
      </c>
      <c r="N84" s="128">
        <v>1</v>
      </c>
      <c r="O84" s="128">
        <v>1</v>
      </c>
      <c r="P84" s="129" t="str">
        <f>VLOOKUP(A84:A311,[1]Coefficients!$A$5:$T$232,19,FALSE)</f>
        <v>22ZFL732830----Q</v>
      </c>
      <c r="Q84" s="129"/>
      <c r="R84" s="95"/>
    </row>
    <row r="85" spans="1:18" s="94" customFormat="1" ht="20.25" customHeight="1" x14ac:dyDescent="0.2">
      <c r="A85" s="130" t="s">
        <v>570</v>
      </c>
      <c r="B85" s="131" t="s">
        <v>572</v>
      </c>
      <c r="C85" s="131" t="s">
        <v>571</v>
      </c>
      <c r="D85" s="131" t="s">
        <v>16</v>
      </c>
      <c r="E85" s="130" t="str">
        <f>VLOOKUP(A85:A313,[1]Coefficients!$A$5:$R$232,5,FALSE)</f>
        <v>Komvest</v>
      </c>
      <c r="F85" s="131">
        <f>VLOOKUP(A85:A313,[1]Coefficients!$A$5:$R$232,6,FALSE)</f>
        <v>43</v>
      </c>
      <c r="G85" s="131">
        <f>VLOOKUP(A85:A313,[1]Coefficients!$A$5:$R$232,7,FALSE)</f>
        <v>8000</v>
      </c>
      <c r="H85" s="130" t="str">
        <f>VLOOKUP(A85:A313,[1]Coefficients!$A$5:$R$232,8,FALSE)</f>
        <v>BRUGGE</v>
      </c>
      <c r="I85" s="130" t="s">
        <v>570</v>
      </c>
      <c r="J85" s="131" t="s">
        <v>569</v>
      </c>
      <c r="K85" s="130" t="s">
        <v>13</v>
      </c>
      <c r="L85" s="130" t="s">
        <v>6</v>
      </c>
      <c r="M85" s="130">
        <v>1</v>
      </c>
      <c r="N85" s="128">
        <v>1</v>
      </c>
      <c r="O85" s="130">
        <v>1</v>
      </c>
      <c r="P85" s="131" t="str">
        <f>VLOOKUP(A85:A312,[1]Coefficients!$A$5:$T$232,19,FALSE)</f>
        <v>22ZFL463310----0</v>
      </c>
      <c r="Q85" s="131"/>
      <c r="R85" s="95"/>
    </row>
    <row r="86" spans="1:18" s="94" customFormat="1" ht="20.25" customHeight="1" x14ac:dyDescent="0.2">
      <c r="A86" s="128" t="s">
        <v>566</v>
      </c>
      <c r="B86" s="129" t="s">
        <v>568</v>
      </c>
      <c r="C86" s="129" t="s">
        <v>567</v>
      </c>
      <c r="D86" s="129" t="s">
        <v>16</v>
      </c>
      <c r="E86" s="128" t="str">
        <f>VLOOKUP(A86:A314,[1]Coefficients!$A$5:$R$232,5,FALSE)</f>
        <v>Rue Mandenne</v>
      </c>
      <c r="F86" s="129" t="str">
        <f>VLOOKUP(A86:A314,[1]Coefficients!$A$5:$R$232,6,FALSE)</f>
        <v>19/20</v>
      </c>
      <c r="G86" s="129">
        <f>VLOOKUP(A86:A314,[1]Coefficients!$A$5:$R$232,7,FALSE)</f>
        <v>6590</v>
      </c>
      <c r="H86" s="128" t="str">
        <f>VLOOKUP(A86:A314,[1]Coefficients!$A$5:$R$232,8,FALSE)</f>
        <v>MOMIGNIES</v>
      </c>
      <c r="I86" s="128" t="s">
        <v>566</v>
      </c>
      <c r="J86" s="129" t="s">
        <v>565</v>
      </c>
      <c r="K86" s="128" t="s">
        <v>13</v>
      </c>
      <c r="L86" s="128" t="s">
        <v>6</v>
      </c>
      <c r="M86" s="128">
        <v>0</v>
      </c>
      <c r="N86" s="128">
        <v>1</v>
      </c>
      <c r="O86" s="128">
        <v>0</v>
      </c>
      <c r="P86" s="129" t="str">
        <f>VLOOKUP(A86:A313,[1]Coefficients!$A$5:$T$232,19,FALSE)</f>
        <v>22ZFL005251----N</v>
      </c>
      <c r="Q86" s="129"/>
      <c r="R86" s="95"/>
    </row>
    <row r="87" spans="1:18" s="94" customFormat="1" ht="20.25" customHeight="1" x14ac:dyDescent="0.2">
      <c r="A87" s="130" t="s">
        <v>562</v>
      </c>
      <c r="B87" s="131" t="s">
        <v>564</v>
      </c>
      <c r="C87" s="131" t="s">
        <v>563</v>
      </c>
      <c r="D87" s="131" t="s">
        <v>16</v>
      </c>
      <c r="E87" s="130" t="str">
        <f>VLOOKUP(A87:A315,[1]Coefficients!$A$5:$R$232,5,FALSE)</f>
        <v>rue des Fabriques</v>
      </c>
      <c r="F87" s="131">
        <f>VLOOKUP(A87:A315,[1]Coefficients!$A$5:$R$232,6,FALSE)</f>
        <v>2</v>
      </c>
      <c r="G87" s="131">
        <f>VLOOKUP(A87:A315,[1]Coefficients!$A$5:$R$232,7,FALSE)</f>
        <v>7034</v>
      </c>
      <c r="H87" s="130" t="str">
        <f>VLOOKUP(A87:A315,[1]Coefficients!$A$5:$R$232,8,FALSE)</f>
        <v>OBOURG</v>
      </c>
      <c r="I87" s="130" t="s">
        <v>562</v>
      </c>
      <c r="J87" s="131" t="s">
        <v>561</v>
      </c>
      <c r="K87" s="130" t="s">
        <v>13</v>
      </c>
      <c r="L87" s="130" t="s">
        <v>6</v>
      </c>
      <c r="M87" s="130">
        <v>1</v>
      </c>
      <c r="N87" s="130">
        <v>0</v>
      </c>
      <c r="O87" s="130">
        <v>0</v>
      </c>
      <c r="P87" s="131" t="str">
        <f>VLOOKUP(A87:A314,[1]Coefficients!$A$5:$T$232,19,FALSE)</f>
        <v>22ZFL004693----Y</v>
      </c>
      <c r="Q87" s="131"/>
      <c r="R87" s="95"/>
    </row>
    <row r="88" spans="1:18" s="94" customFormat="1" ht="20.25" customHeight="1" x14ac:dyDescent="0.2">
      <c r="A88" s="128" t="s">
        <v>558</v>
      </c>
      <c r="B88" s="129" t="s">
        <v>560</v>
      </c>
      <c r="C88" s="129" t="s">
        <v>559</v>
      </c>
      <c r="D88" s="129" t="s">
        <v>16</v>
      </c>
      <c r="E88" s="128" t="str">
        <f>VLOOKUP(A88:A316,[1]Coefficients!$A$5:$R$232,5,FALSE)</f>
        <v>Langerbruggestraat</v>
      </c>
      <c r="F88" s="129">
        <f>VLOOKUP(A88:A316,[1]Coefficients!$A$5:$R$232,6,FALSE)</f>
        <v>104</v>
      </c>
      <c r="G88" s="129">
        <f>VLOOKUP(A88:A316,[1]Coefficients!$A$5:$R$232,7,FALSE)</f>
        <v>9000</v>
      </c>
      <c r="H88" s="128" t="str">
        <f>VLOOKUP(A88:A316,[1]Coefficients!$A$5:$R$232,8,FALSE)</f>
        <v>GENT</v>
      </c>
      <c r="I88" s="128" t="s">
        <v>558</v>
      </c>
      <c r="J88" s="129" t="s">
        <v>557</v>
      </c>
      <c r="K88" s="128" t="s">
        <v>13</v>
      </c>
      <c r="L88" s="128" t="s">
        <v>6</v>
      </c>
      <c r="M88" s="128">
        <v>1</v>
      </c>
      <c r="N88" s="128">
        <v>1</v>
      </c>
      <c r="O88" s="128">
        <v>1</v>
      </c>
      <c r="P88" s="129" t="str">
        <f>VLOOKUP(A88:A315,[1]Coefficients!$A$5:$T$232,19,FALSE)</f>
        <v>22ZFL425210----U</v>
      </c>
      <c r="Q88" s="129"/>
      <c r="R88" s="95"/>
    </row>
    <row r="89" spans="1:18" s="94" customFormat="1" ht="20.25" customHeight="1" x14ac:dyDescent="0.2">
      <c r="A89" s="130" t="s">
        <v>554</v>
      </c>
      <c r="B89" s="131" t="s">
        <v>556</v>
      </c>
      <c r="C89" s="131" t="s">
        <v>555</v>
      </c>
      <c r="D89" s="131" t="s">
        <v>16</v>
      </c>
      <c r="E89" s="130" t="str">
        <f>VLOOKUP(A89:A317,[1]Coefficients!$A$5:$R$232,5,FALSE)</f>
        <v>rue du Canal</v>
      </c>
      <c r="F89" s="131">
        <f>VLOOKUP(A89:A317,[1]Coefficients!$A$5:$R$232,6,FALSE)</f>
        <v>2</v>
      </c>
      <c r="G89" s="131">
        <f>VLOOKUP(A89:A317,[1]Coefficients!$A$5:$R$232,7,FALSE)</f>
        <v>4600</v>
      </c>
      <c r="H89" s="130" t="str">
        <f>VLOOKUP(A89:A317,[1]Coefficients!$A$5:$R$232,8,FALSE)</f>
        <v>LIXHE</v>
      </c>
      <c r="I89" s="130" t="s">
        <v>554</v>
      </c>
      <c r="J89" s="131" t="s">
        <v>553</v>
      </c>
      <c r="K89" s="130" t="s">
        <v>13</v>
      </c>
      <c r="L89" s="130" t="s">
        <v>6</v>
      </c>
      <c r="M89" s="130">
        <v>1</v>
      </c>
      <c r="N89" s="130">
        <v>0</v>
      </c>
      <c r="O89" s="130">
        <v>0</v>
      </c>
      <c r="P89" s="131" t="str">
        <f>VLOOKUP(A89:A316,[1]Coefficients!$A$5:$T$232,19,FALSE)</f>
        <v>22ZFL005293----K</v>
      </c>
      <c r="Q89" s="131"/>
      <c r="R89" s="95"/>
    </row>
    <row r="90" spans="1:18" s="94" customFormat="1" ht="20.25" customHeight="1" x14ac:dyDescent="0.2">
      <c r="A90" s="128" t="s">
        <v>550</v>
      </c>
      <c r="B90" s="129" t="s">
        <v>552</v>
      </c>
      <c r="C90" s="129" t="s">
        <v>551</v>
      </c>
      <c r="D90" s="129" t="s">
        <v>16</v>
      </c>
      <c r="E90" s="128" t="str">
        <f>VLOOKUP(A90:A318,[1]Coefficients!$A$5:$R$232,5,FALSE)</f>
        <v>Scheepzatestraat</v>
      </c>
      <c r="F90" s="129">
        <f>VLOOKUP(A90:A318,[1]Coefficients!$A$5:$R$232,6,FALSE)</f>
        <v>2</v>
      </c>
      <c r="G90" s="129">
        <f>VLOOKUP(A90:A318,[1]Coefficients!$A$5:$R$232,7,FALSE)</f>
        <v>9000</v>
      </c>
      <c r="H90" s="128" t="str">
        <f>VLOOKUP(A90:A318,[1]Coefficients!$A$5:$R$232,8,FALSE)</f>
        <v>GENT</v>
      </c>
      <c r="I90" s="128" t="s">
        <v>550</v>
      </c>
      <c r="J90" s="129" t="s">
        <v>549</v>
      </c>
      <c r="K90" s="128" t="s">
        <v>13</v>
      </c>
      <c r="L90" s="128" t="s">
        <v>6</v>
      </c>
      <c r="M90" s="128">
        <v>1</v>
      </c>
      <c r="N90" s="128">
        <v>1</v>
      </c>
      <c r="O90" s="128">
        <v>1</v>
      </c>
      <c r="P90" s="129" t="str">
        <f>VLOOKUP(A90:A317,[1]Coefficients!$A$5:$T$232,19,FALSE)</f>
        <v>22ZFL425350----V</v>
      </c>
      <c r="Q90" s="129"/>
      <c r="R90" s="95"/>
    </row>
    <row r="91" spans="1:18" s="94" customFormat="1" ht="20.25" customHeight="1" x14ac:dyDescent="0.2">
      <c r="A91" s="130" t="s">
        <v>546</v>
      </c>
      <c r="B91" s="131" t="s">
        <v>548</v>
      </c>
      <c r="C91" s="131" t="s">
        <v>547</v>
      </c>
      <c r="D91" s="131" t="s">
        <v>16</v>
      </c>
      <c r="E91" s="130" t="str">
        <f>VLOOKUP(A91:A319,[1]Coefficients!$A$5:$R$232,5,FALSE)</f>
        <v>Brouwerijplein</v>
      </c>
      <c r="F91" s="131">
        <f>VLOOKUP(A91:A319,[1]Coefficients!$A$5:$R$232,6,FALSE)</f>
        <v>1</v>
      </c>
      <c r="G91" s="131">
        <f>VLOOKUP(A91:A319,[1]Coefficients!$A$5:$R$232,7,FALSE)</f>
        <v>3000</v>
      </c>
      <c r="H91" s="130" t="str">
        <f>VLOOKUP(A91:A319,[1]Coefficients!$A$5:$R$232,8,FALSE)</f>
        <v>LEUVEN</v>
      </c>
      <c r="I91" s="130" t="s">
        <v>546</v>
      </c>
      <c r="J91" s="131" t="s">
        <v>545</v>
      </c>
      <c r="K91" s="130" t="s">
        <v>13</v>
      </c>
      <c r="L91" s="130" t="s">
        <v>19</v>
      </c>
      <c r="M91" s="130">
        <v>1</v>
      </c>
      <c r="N91" s="130">
        <v>0</v>
      </c>
      <c r="O91" s="130">
        <v>0</v>
      </c>
      <c r="P91" s="131" t="str">
        <f>VLOOKUP(A91:A318,[1]Coefficients!$A$5:$T$232,19,FALSE)</f>
        <v>22ZFL-005958---W</v>
      </c>
      <c r="Q91" s="131"/>
      <c r="R91" s="95"/>
    </row>
    <row r="92" spans="1:18" s="94" customFormat="1" ht="20.25" customHeight="1" x14ac:dyDescent="0.2">
      <c r="A92" s="128" t="s">
        <v>542</v>
      </c>
      <c r="B92" s="129" t="s">
        <v>544</v>
      </c>
      <c r="C92" s="129" t="s">
        <v>543</v>
      </c>
      <c r="D92" s="129" t="s">
        <v>16</v>
      </c>
      <c r="E92" s="128" t="str">
        <f>VLOOKUP(A92:A320,[1]Coefficients!$A$5:$R$232,5,FALSE)</f>
        <v>Rue de Châtelet (BP 1739)</v>
      </c>
      <c r="F92" s="129">
        <f>VLOOKUP(A92:A320,[1]Coefficients!$A$5:$R$232,6,FALSE)</f>
        <v>266</v>
      </c>
      <c r="G92" s="129">
        <f>VLOOKUP(A92:A320,[1]Coefficients!$A$5:$R$232,7,FALSE)</f>
        <v>6030</v>
      </c>
      <c r="H92" s="128" t="str">
        <f>VLOOKUP(A92:A320,[1]Coefficients!$A$5:$R$232,8,FALSE)</f>
        <v>MARCHIENNE-AU-PONT</v>
      </c>
      <c r="I92" s="128" t="s">
        <v>542</v>
      </c>
      <c r="J92" s="129" t="s">
        <v>541</v>
      </c>
      <c r="K92" s="128" t="s">
        <v>13</v>
      </c>
      <c r="L92" s="128" t="s">
        <v>6</v>
      </c>
      <c r="M92" s="128">
        <v>1</v>
      </c>
      <c r="N92" s="128">
        <v>1</v>
      </c>
      <c r="O92" s="128">
        <v>1</v>
      </c>
      <c r="P92" s="129" t="str">
        <f>VLOOKUP(A92:A319,[1]Coefficients!$A$5:$T$232,19,FALSE)</f>
        <v>22ZFL005914----E</v>
      </c>
      <c r="Q92" s="129"/>
      <c r="R92" s="95"/>
    </row>
    <row r="93" spans="1:18" s="94" customFormat="1" ht="20.25" customHeight="1" x14ac:dyDescent="0.2">
      <c r="A93" s="130" t="s">
        <v>540</v>
      </c>
      <c r="B93" s="131" t="s">
        <v>539</v>
      </c>
      <c r="C93" s="131" t="s">
        <v>538</v>
      </c>
      <c r="D93" s="131" t="s">
        <v>16</v>
      </c>
      <c r="E93" s="130" t="str">
        <f>VLOOKUP(A93:A321,[1]Coefficients!$A$5:$R$232,5,FALSE)</f>
        <v>Parc Industriel Nord, Zone C</v>
      </c>
      <c r="F93" s="131" t="str">
        <f>VLOOKUP(A93:A321,[1]Coefficients!$A$5:$R$232,6,FALSE)</f>
        <v>z/n</v>
      </c>
      <c r="G93" s="131">
        <f>VLOOKUP(A93:A321,[1]Coefficients!$A$5:$R$232,7,FALSE)</f>
        <v>7181</v>
      </c>
      <c r="H93" s="130" t="str">
        <f>VLOOKUP(A93:A321,[1]Coefficients!$A$5:$R$232,8,FALSE)</f>
        <v>FELUY</v>
      </c>
      <c r="I93" s="130" t="s">
        <v>534</v>
      </c>
      <c r="J93" s="131" t="s">
        <v>533</v>
      </c>
      <c r="K93" s="130" t="s">
        <v>13</v>
      </c>
      <c r="L93" s="130" t="s">
        <v>6</v>
      </c>
      <c r="M93" s="130">
        <v>1</v>
      </c>
      <c r="N93" s="130">
        <v>0</v>
      </c>
      <c r="O93" s="130">
        <v>0</v>
      </c>
      <c r="P93" s="131" t="str">
        <f>VLOOKUP(A93:A320,[1]Coefficients!$A$5:$T$232,19,FALSE)</f>
        <v>22ZFL005915----8</v>
      </c>
      <c r="Q93" s="131"/>
      <c r="R93" s="95"/>
    </row>
    <row r="94" spans="1:18" s="94" customFormat="1" ht="20.25" customHeight="1" x14ac:dyDescent="0.2">
      <c r="A94" s="128" t="s">
        <v>537</v>
      </c>
      <c r="B94" s="129" t="s">
        <v>536</v>
      </c>
      <c r="C94" s="129" t="s">
        <v>535</v>
      </c>
      <c r="D94" s="129" t="s">
        <v>16</v>
      </c>
      <c r="E94" s="128" t="str">
        <f>VLOOKUP(A94:A322,[1]Coefficients!$A$5:$R$232,5,FALSE)</f>
        <v>Parc Industriel - Zone C</v>
      </c>
      <c r="F94" s="129" t="str">
        <f>VLOOKUP(A94:A322,[1]Coefficients!$A$5:$R$232,6,FALSE)</f>
        <v>z/n</v>
      </c>
      <c r="G94" s="129">
        <f>VLOOKUP(A94:A322,[1]Coefficients!$A$5:$R$232,7,FALSE)</f>
        <v>7181</v>
      </c>
      <c r="H94" s="128" t="str">
        <f>VLOOKUP(A94:A322,[1]Coefficients!$A$5:$R$232,8,FALSE)</f>
        <v>SENEFFE</v>
      </c>
      <c r="I94" s="128" t="s">
        <v>534</v>
      </c>
      <c r="J94" s="129" t="s">
        <v>533</v>
      </c>
      <c r="K94" s="128" t="s">
        <v>13</v>
      </c>
      <c r="L94" s="128" t="s">
        <v>6</v>
      </c>
      <c r="M94" s="128">
        <v>1</v>
      </c>
      <c r="N94" s="130">
        <v>0</v>
      </c>
      <c r="O94" s="128">
        <v>0</v>
      </c>
      <c r="P94" s="129" t="str">
        <f>VLOOKUP(A94:A321,[1]Coefficients!$A$5:$T$232,19,FALSE)</f>
        <v>22ZFL005915----8</v>
      </c>
      <c r="Q94" s="129"/>
      <c r="R94" s="95"/>
    </row>
    <row r="95" spans="1:18" s="94" customFormat="1" ht="20.25" customHeight="1" x14ac:dyDescent="0.2">
      <c r="A95" s="130" t="s">
        <v>530</v>
      </c>
      <c r="B95" s="131" t="s">
        <v>532</v>
      </c>
      <c r="C95" s="131" t="s">
        <v>531</v>
      </c>
      <c r="D95" s="131" t="s">
        <v>16</v>
      </c>
      <c r="E95" s="130" t="str">
        <f>VLOOKUP(A95:A323,[1]Coefficients!$A$5:$R$232,5,FALSE)</f>
        <v>Haven 647 Scheldelaan</v>
      </c>
      <c r="F95" s="131">
        <f>VLOOKUP(A95:A323,[1]Coefficients!$A$5:$R$232,6,FALSE)</f>
        <v>480</v>
      </c>
      <c r="G95" s="131">
        <f>VLOOKUP(A95:A323,[1]Coefficients!$A$5:$R$232,7,FALSE)</f>
        <v>2040</v>
      </c>
      <c r="H95" s="130" t="str">
        <f>VLOOKUP(A95:A323,[1]Coefficients!$A$5:$R$232,8,FALSE)</f>
        <v>ANTWERPEN</v>
      </c>
      <c r="I95" s="130" t="s">
        <v>530</v>
      </c>
      <c r="J95" s="131" t="s">
        <v>529</v>
      </c>
      <c r="K95" s="130" t="s">
        <v>13</v>
      </c>
      <c r="L95" s="130" t="s">
        <v>19</v>
      </c>
      <c r="M95" s="130">
        <v>1</v>
      </c>
      <c r="N95" s="130">
        <v>0</v>
      </c>
      <c r="O95" s="130">
        <v>0</v>
      </c>
      <c r="P95" s="131" t="str">
        <f>VLOOKUP(A95:A322,[1]Coefficients!$A$5:$T$232,19,FALSE)</f>
        <v>22ZFL004712----E</v>
      </c>
      <c r="Q95" s="131"/>
      <c r="R95" s="95"/>
    </row>
    <row r="96" spans="1:18" s="94" customFormat="1" ht="20.25" customHeight="1" x14ac:dyDescent="0.2">
      <c r="A96" s="128" t="s">
        <v>528</v>
      </c>
      <c r="B96" s="129" t="s">
        <v>527</v>
      </c>
      <c r="C96" s="129" t="s">
        <v>526</v>
      </c>
      <c r="D96" s="129" t="s">
        <v>16</v>
      </c>
      <c r="E96" s="128" t="str">
        <f>VLOOKUP(A96:A324,[1]Coefficients!$A$5:$R$232,5,FALSE)</f>
        <v>Haven 1053 - Scheldedijk</v>
      </c>
      <c r="F96" s="129">
        <f>VLOOKUP(A96:A324,[1]Coefficients!$A$5:$R$232,6,FALSE)</f>
        <v>1</v>
      </c>
      <c r="G96" s="129">
        <f>VLOOKUP(A96:A324,[1]Coefficients!$A$5:$R$232,7,FALSE)</f>
        <v>2070</v>
      </c>
      <c r="H96" s="128" t="str">
        <f>VLOOKUP(A96:A324,[1]Coefficients!$A$5:$R$232,8,FALSE)</f>
        <v>ZWIJNDRECHT</v>
      </c>
      <c r="I96" s="128" t="s">
        <v>1038</v>
      </c>
      <c r="J96" s="129" t="s">
        <v>226</v>
      </c>
      <c r="K96" s="128" t="s">
        <v>7</v>
      </c>
      <c r="L96" s="128" t="s">
        <v>6</v>
      </c>
      <c r="M96" s="128">
        <v>1</v>
      </c>
      <c r="N96" s="130">
        <v>0</v>
      </c>
      <c r="O96" s="128">
        <v>0</v>
      </c>
      <c r="P96" s="129" t="str">
        <f>VLOOKUP(A96:A323,[1]Coefficients!$A$5:$T$232,19,FALSE)</f>
        <v>22ZFL005909----S</v>
      </c>
      <c r="Q96" s="129"/>
      <c r="R96" s="95"/>
    </row>
    <row r="97" spans="1:18" s="94" customFormat="1" ht="20.25" customHeight="1" x14ac:dyDescent="0.2">
      <c r="A97" s="130" t="s">
        <v>523</v>
      </c>
      <c r="B97" s="131" t="s">
        <v>525</v>
      </c>
      <c r="C97" s="131" t="s">
        <v>524</v>
      </c>
      <c r="D97" s="131" t="s">
        <v>16</v>
      </c>
      <c r="E97" s="130" t="str">
        <f>VLOOKUP(A97:A325,[1]Coefficients!$A$5:$R$232,5,FALSE)</f>
        <v>rue de Solvay</v>
      </c>
      <c r="F97" s="131">
        <f>VLOOKUP(A97:A325,[1]Coefficients!$A$5:$R$232,6,FALSE)</f>
        <v>39</v>
      </c>
      <c r="G97" s="131">
        <f>VLOOKUP(A97:A325,[1]Coefficients!$A$5:$R$232,7,FALSE)</f>
        <v>5190</v>
      </c>
      <c r="H97" s="130" t="str">
        <f>VLOOKUP(A97:A325,[1]Coefficients!$A$5:$R$232,8,FALSE)</f>
        <v>JEMEPPE-SUR-SAMBRE</v>
      </c>
      <c r="I97" s="130" t="s">
        <v>523</v>
      </c>
      <c r="J97" s="131" t="s">
        <v>522</v>
      </c>
      <c r="K97" s="130" t="s">
        <v>13</v>
      </c>
      <c r="L97" s="130" t="s">
        <v>6</v>
      </c>
      <c r="M97" s="130">
        <v>1</v>
      </c>
      <c r="N97" s="128">
        <v>1</v>
      </c>
      <c r="O97" s="130">
        <v>0</v>
      </c>
      <c r="P97" s="131" t="str">
        <f>VLOOKUP(A97:A324,[1]Coefficients!$A$5:$T$232,19,FALSE)</f>
        <v>22ZFL004754----B</v>
      </c>
      <c r="Q97" s="131"/>
      <c r="R97" s="95"/>
    </row>
    <row r="98" spans="1:18" s="94" customFormat="1" ht="20.25" customHeight="1" x14ac:dyDescent="0.2">
      <c r="A98" s="128" t="s">
        <v>519</v>
      </c>
      <c r="B98" s="129" t="s">
        <v>521</v>
      </c>
      <c r="C98" s="129" t="s">
        <v>520</v>
      </c>
      <c r="D98" s="129" t="s">
        <v>16</v>
      </c>
      <c r="E98" s="128" t="str">
        <f>VLOOKUP(A98:A326,[1]Coefficients!$A$5:$R$232,5,FALSE)</f>
        <v>Avenue prévers</v>
      </c>
      <c r="F98" s="129">
        <f>VLOOKUP(A98:A326,[1]Coefficients!$A$5:$R$232,6,FALSE)</f>
        <v>26</v>
      </c>
      <c r="G98" s="129">
        <f>VLOOKUP(A98:A326,[1]Coefficients!$A$5:$R$232,7,FALSE)</f>
        <v>4020</v>
      </c>
      <c r="H98" s="128" t="str">
        <f>VLOOKUP(A98:A326,[1]Coefficients!$A$5:$R$232,8,FALSE)</f>
        <v>LIEGE JUPILLE</v>
      </c>
      <c r="I98" s="128" t="s">
        <v>519</v>
      </c>
      <c r="J98" s="129" t="s">
        <v>518</v>
      </c>
      <c r="K98" s="128" t="s">
        <v>13</v>
      </c>
      <c r="L98" s="128" t="s">
        <v>6</v>
      </c>
      <c r="M98" s="128">
        <v>1</v>
      </c>
      <c r="N98" s="128">
        <v>1</v>
      </c>
      <c r="O98" s="128">
        <v>1</v>
      </c>
      <c r="P98" s="129" t="str">
        <f>VLOOKUP(A98:A325,[1]Coefficients!$A$5:$T$232,19,FALSE)</f>
        <v>22ZFL004778----A</v>
      </c>
      <c r="Q98" s="129"/>
      <c r="R98" s="95"/>
    </row>
    <row r="99" spans="1:18" s="94" customFormat="1" ht="20.25" customHeight="1" x14ac:dyDescent="0.2">
      <c r="A99" s="130" t="s">
        <v>515</v>
      </c>
      <c r="B99" s="131" t="s">
        <v>517</v>
      </c>
      <c r="C99" s="131" t="s">
        <v>516</v>
      </c>
      <c r="D99" s="131" t="s">
        <v>16</v>
      </c>
      <c r="E99" s="130" t="str">
        <f>VLOOKUP(A99:A327,[1]Coefficients!$A$5:$R$232,5,FALSE)</f>
        <v>Atealaan</v>
      </c>
      <c r="F99" s="131">
        <f>VLOOKUP(A99:A327,[1]Coefficients!$A$5:$R$232,6,FALSE)</f>
        <v>34</v>
      </c>
      <c r="G99" s="131">
        <f>VLOOKUP(A99:A327,[1]Coefficients!$A$5:$R$232,7,FALSE)</f>
        <v>2200</v>
      </c>
      <c r="H99" s="130" t="str">
        <f>VLOOKUP(A99:A327,[1]Coefficients!$A$5:$R$232,8,FALSE)</f>
        <v>HERENTALS</v>
      </c>
      <c r="I99" s="130" t="s">
        <v>515</v>
      </c>
      <c r="J99" s="131" t="s">
        <v>514</v>
      </c>
      <c r="K99" s="130" t="s">
        <v>13</v>
      </c>
      <c r="L99" s="130" t="s">
        <v>19</v>
      </c>
      <c r="M99" s="130">
        <v>1</v>
      </c>
      <c r="N99" s="130">
        <v>0</v>
      </c>
      <c r="O99" s="130">
        <v>0</v>
      </c>
      <c r="P99" s="131" t="str">
        <f>VLOOKUP(A99:A326,[1]Coefficients!$A$5:$T$232,19,FALSE)</f>
        <v>22ZFL13010-----8</v>
      </c>
      <c r="Q99" s="131"/>
      <c r="R99" s="95"/>
    </row>
    <row r="100" spans="1:18" s="94" customFormat="1" ht="20.25" customHeight="1" x14ac:dyDescent="0.2">
      <c r="A100" s="128" t="s">
        <v>511</v>
      </c>
      <c r="B100" s="129" t="s">
        <v>513</v>
      </c>
      <c r="C100" s="129" t="s">
        <v>512</v>
      </c>
      <c r="D100" s="129" t="s">
        <v>16</v>
      </c>
      <c r="E100" s="128" t="str">
        <f>VLOOKUP(A100:A328,[1]Coefficients!$A$5:$R$232,5,FALSE)</f>
        <v>Zoning Industriel de Latour</v>
      </c>
      <c r="F100" s="129" t="str">
        <f>VLOOKUP(A100:A328,[1]Coefficients!$A$5:$R$232,6,FALSE)</f>
        <v>z/n</v>
      </c>
      <c r="G100" s="129">
        <f>VLOOKUP(A100:A328,[1]Coefficients!$A$5:$R$232,7,FALSE)</f>
        <v>6761</v>
      </c>
      <c r="H100" s="128" t="str">
        <f>VLOOKUP(A100:A328,[1]Coefficients!$A$5:$R$232,8,FALSE)</f>
        <v>VIRTON</v>
      </c>
      <c r="I100" s="128" t="s">
        <v>511</v>
      </c>
      <c r="J100" s="129" t="s">
        <v>510</v>
      </c>
      <c r="K100" s="128" t="s">
        <v>13</v>
      </c>
      <c r="L100" s="128" t="s">
        <v>6</v>
      </c>
      <c r="M100" s="128">
        <v>1</v>
      </c>
      <c r="N100" s="130">
        <v>0</v>
      </c>
      <c r="O100" s="128">
        <v>0</v>
      </c>
      <c r="P100" s="129" t="str">
        <f>VLOOKUP(A100:A327,[1]Coefficients!$A$5:$T$232,19,FALSE)</f>
        <v>22ZFL004788----3</v>
      </c>
      <c r="Q100" s="129"/>
      <c r="R100" s="95"/>
    </row>
    <row r="101" spans="1:18" s="94" customFormat="1" ht="20.25" customHeight="1" x14ac:dyDescent="0.2">
      <c r="A101" s="130" t="s">
        <v>507</v>
      </c>
      <c r="B101" s="131" t="s">
        <v>509</v>
      </c>
      <c r="C101" s="131" t="s">
        <v>508</v>
      </c>
      <c r="D101" s="131" t="s">
        <v>16</v>
      </c>
      <c r="E101" s="130" t="str">
        <f>VLOOKUP(A101:A329,[1]Coefficients!$A$5:$R$232,5,FALSE)</f>
        <v>Nijverheidsstraat</v>
      </c>
      <c r="F101" s="131">
        <f>VLOOKUP(A101:A329,[1]Coefficients!$A$5:$R$232,6,FALSE)</f>
        <v>16</v>
      </c>
      <c r="G101" s="131">
        <f>VLOOKUP(A101:A329,[1]Coefficients!$A$5:$R$232,7,FALSE)</f>
        <v>2260</v>
      </c>
      <c r="H101" s="130" t="str">
        <f>VLOOKUP(A101:A329,[1]Coefficients!$A$5:$R$232,8,FALSE)</f>
        <v>WESTERLO</v>
      </c>
      <c r="I101" s="130" t="s">
        <v>507</v>
      </c>
      <c r="J101" s="131" t="s">
        <v>506</v>
      </c>
      <c r="K101" s="130" t="s">
        <v>13</v>
      </c>
      <c r="L101" s="130" t="s">
        <v>6</v>
      </c>
      <c r="M101" s="130">
        <v>1</v>
      </c>
      <c r="N101" s="130">
        <v>0</v>
      </c>
      <c r="O101" s="130">
        <v>0</v>
      </c>
      <c r="P101" s="131" t="str">
        <f>VLOOKUP(A101:A328,[1]Coefficients!$A$5:$T$232,19,FALSE)</f>
        <v>22ZFL004709----G</v>
      </c>
      <c r="Q101" s="131" t="str">
        <f>VLOOKUP(A101:A328,[1]Coefficients!$A$5:$T$232,20,FALSE)</f>
        <v>01/09/2015 - Done</v>
      </c>
      <c r="R101" s="95"/>
    </row>
    <row r="102" spans="1:18" s="94" customFormat="1" ht="20.25" customHeight="1" x14ac:dyDescent="0.2">
      <c r="A102" s="128" t="s">
        <v>503</v>
      </c>
      <c r="B102" s="129" t="s">
        <v>505</v>
      </c>
      <c r="C102" s="129" t="s">
        <v>504</v>
      </c>
      <c r="D102" s="129" t="s">
        <v>16</v>
      </c>
      <c r="E102" s="128" t="str">
        <f>VLOOKUP(A102:A330,[1]Coefficients!$A$5:$R$232,5,FALSE)</f>
        <v>Rue de Maestricht</v>
      </c>
      <c r="F102" s="129">
        <f>VLOOKUP(A102:A330,[1]Coefficients!$A$5:$R$232,6,FALSE)</f>
        <v>95</v>
      </c>
      <c r="G102" s="129">
        <f>VLOOKUP(A102:A330,[1]Coefficients!$A$5:$R$232,7,FALSE)</f>
        <v>4600</v>
      </c>
      <c r="H102" s="128" t="str">
        <f>VLOOKUP(A102:A330,[1]Coefficients!$A$5:$R$232,8,FALSE)</f>
        <v>VISE</v>
      </c>
      <c r="I102" s="128" t="s">
        <v>503</v>
      </c>
      <c r="J102" s="129" t="s">
        <v>502</v>
      </c>
      <c r="K102" s="128" t="s">
        <v>13</v>
      </c>
      <c r="L102" s="128" t="s">
        <v>6</v>
      </c>
      <c r="M102" s="128">
        <v>1</v>
      </c>
      <c r="N102" s="130">
        <v>0</v>
      </c>
      <c r="O102" s="128">
        <v>0</v>
      </c>
      <c r="P102" s="129" t="str">
        <f>VLOOKUP(A102:A329,[1]Coefficients!$A$5:$T$232,19,FALSE)</f>
        <v>22ZFL004690----F</v>
      </c>
      <c r="Q102" s="129"/>
      <c r="R102" s="95"/>
    </row>
    <row r="103" spans="1:18" s="94" customFormat="1" ht="20.25" customHeight="1" x14ac:dyDescent="0.2">
      <c r="A103" s="130" t="s">
        <v>499</v>
      </c>
      <c r="B103" s="131" t="s">
        <v>501</v>
      </c>
      <c r="C103" s="131" t="s">
        <v>500</v>
      </c>
      <c r="D103" s="131" t="s">
        <v>16</v>
      </c>
      <c r="E103" s="130" t="str">
        <f>VLOOKUP(A103:A331,[1]Coefficients!$A$5:$R$232,5,FALSE)</f>
        <v>Zone Industrielle</v>
      </c>
      <c r="F103" s="131">
        <f>VLOOKUP(A103:A331,[1]Coefficients!$A$5:$R$232,6,FALSE)</f>
        <v>1</v>
      </c>
      <c r="G103" s="131">
        <f>VLOOKUP(A103:A331,[1]Coefficients!$A$5:$R$232,7,FALSE)</f>
        <v>4480</v>
      </c>
      <c r="H103" s="130" t="str">
        <f>VLOOKUP(A103:A331,[1]Coefficients!$A$5:$R$232,8,FALSE)</f>
        <v>ENGIS</v>
      </c>
      <c r="I103" s="130" t="s">
        <v>499</v>
      </c>
      <c r="J103" s="131" t="s">
        <v>498</v>
      </c>
      <c r="K103" s="130" t="s">
        <v>13</v>
      </c>
      <c r="L103" s="130" t="s">
        <v>6</v>
      </c>
      <c r="M103" s="130">
        <v>1</v>
      </c>
      <c r="N103" s="130">
        <v>0</v>
      </c>
      <c r="O103" s="130">
        <v>0</v>
      </c>
      <c r="P103" s="131" t="str">
        <f>VLOOKUP(A103:A330,[1]Coefficients!$A$5:$T$232,19,FALSE)</f>
        <v>22ZFL004780----E</v>
      </c>
      <c r="Q103" s="131"/>
      <c r="R103" s="95"/>
    </row>
    <row r="104" spans="1:18" s="94" customFormat="1" ht="20.25" customHeight="1" x14ac:dyDescent="0.2">
      <c r="A104" s="128" t="s">
        <v>495</v>
      </c>
      <c r="B104" s="129" t="s">
        <v>497</v>
      </c>
      <c r="C104" s="129" t="s">
        <v>496</v>
      </c>
      <c r="D104" s="129" t="s">
        <v>16</v>
      </c>
      <c r="E104" s="128" t="str">
        <f>VLOOKUP(A104:A332,[1]Coefficients!$A$5:$R$232,5,FALSE)</f>
        <v>Langerbruggekaai</v>
      </c>
      <c r="F104" s="129">
        <f>VLOOKUP(A104:A332,[1]Coefficients!$A$5:$R$232,6,FALSE)</f>
        <v>10</v>
      </c>
      <c r="G104" s="129">
        <f>VLOOKUP(A104:A332,[1]Coefficients!$A$5:$R$232,7,FALSE)</f>
        <v>9000</v>
      </c>
      <c r="H104" s="128" t="str">
        <f>VLOOKUP(A104:A332,[1]Coefficients!$A$5:$R$232,8,FALSE)</f>
        <v>GENT</v>
      </c>
      <c r="I104" s="128" t="s">
        <v>495</v>
      </c>
      <c r="J104" s="129" t="s">
        <v>494</v>
      </c>
      <c r="K104" s="128" t="s">
        <v>13</v>
      </c>
      <c r="L104" s="128" t="s">
        <v>6</v>
      </c>
      <c r="M104" s="128">
        <v>1</v>
      </c>
      <c r="N104" s="130">
        <v>0</v>
      </c>
      <c r="O104" s="128">
        <v>0</v>
      </c>
      <c r="P104" s="129" t="str">
        <f>VLOOKUP(A104:A331,[1]Coefficients!$A$5:$T$232,19,FALSE)</f>
        <v>22ZFL-004741---L</v>
      </c>
      <c r="Q104" s="129"/>
      <c r="R104" s="95"/>
    </row>
    <row r="105" spans="1:18" s="94" customFormat="1" ht="20.25" customHeight="1" x14ac:dyDescent="0.2">
      <c r="A105" s="130" t="s">
        <v>491</v>
      </c>
      <c r="B105" s="131" t="s">
        <v>493</v>
      </c>
      <c r="C105" s="131" t="s">
        <v>492</v>
      </c>
      <c r="D105" s="131" t="s">
        <v>16</v>
      </c>
      <c r="E105" s="130" t="str">
        <f>VLOOKUP(A105:A333,[1]Coefficients!$A$5:$R$232,5,FALSE)</f>
        <v>Route des Forges</v>
      </c>
      <c r="F105" s="131" t="str">
        <f>VLOOKUP(A105:A333,[1]Coefficients!$A$5:$R$232,6,FALSE)</f>
        <v>z/n</v>
      </c>
      <c r="G105" s="131">
        <f>VLOOKUP(A105:A333,[1]Coefficients!$A$5:$R$232,7,FALSE)</f>
        <v>6724</v>
      </c>
      <c r="H105" s="130" t="str">
        <f>VLOOKUP(A105:A333,[1]Coefficients!$A$5:$R$232,8,FALSE)</f>
        <v>RULLES</v>
      </c>
      <c r="I105" s="130" t="s">
        <v>491</v>
      </c>
      <c r="J105" s="131" t="s">
        <v>490</v>
      </c>
      <c r="K105" s="130" t="s">
        <v>13</v>
      </c>
      <c r="L105" s="130" t="s">
        <v>6</v>
      </c>
      <c r="M105" s="130">
        <v>1</v>
      </c>
      <c r="N105" s="130">
        <v>1</v>
      </c>
      <c r="O105" s="130">
        <v>1</v>
      </c>
      <c r="P105" s="131" t="str">
        <f>VLOOKUP(A105:A332,[1]Coefficients!$A$5:$T$232,19,FALSE)</f>
        <v>22ZFL871410----U</v>
      </c>
      <c r="Q105" s="131"/>
      <c r="R105" s="95"/>
    </row>
    <row r="106" spans="1:18" s="94" customFormat="1" ht="20.25" customHeight="1" x14ac:dyDescent="0.2">
      <c r="A106" s="128" t="s">
        <v>487</v>
      </c>
      <c r="B106" s="129" t="s">
        <v>489</v>
      </c>
      <c r="C106" s="129" t="s">
        <v>488</v>
      </c>
      <c r="D106" s="129" t="s">
        <v>16</v>
      </c>
      <c r="E106" s="128" t="str">
        <f>VLOOKUP(A106:A334,[1]Coefficients!$A$5:$R$232,5,FALSE)</f>
        <v>Haven 507 - Ketenislaan</v>
      </c>
      <c r="F106" s="129">
        <f>VLOOKUP(A106:A334,[1]Coefficients!$A$5:$R$232,6,FALSE)</f>
        <v>2</v>
      </c>
      <c r="G106" s="129">
        <f>VLOOKUP(A106:A334,[1]Coefficients!$A$5:$R$232,7,FALSE)</f>
        <v>2040</v>
      </c>
      <c r="H106" s="128" t="str">
        <f>VLOOKUP(A106:A334,[1]Coefficients!$A$5:$R$232,8,FALSE)</f>
        <v>ANTWERPEN</v>
      </c>
      <c r="I106" s="128" t="s">
        <v>487</v>
      </c>
      <c r="J106" s="129" t="s">
        <v>486</v>
      </c>
      <c r="K106" s="128" t="s">
        <v>13</v>
      </c>
      <c r="L106" s="128" t="s">
        <v>6</v>
      </c>
      <c r="M106" s="128">
        <v>1</v>
      </c>
      <c r="N106" s="130">
        <v>0</v>
      </c>
      <c r="O106" s="128">
        <v>0</v>
      </c>
      <c r="P106" s="129" t="str">
        <f>VLOOKUP(A106:A333,[1]Coefficients!$A$5:$T$232,19,FALSE)</f>
        <v>22ZFL004868----9</v>
      </c>
      <c r="Q106" s="129"/>
      <c r="R106" s="95"/>
    </row>
    <row r="107" spans="1:18" s="94" customFormat="1" ht="20.25" customHeight="1" x14ac:dyDescent="0.2">
      <c r="A107" s="130" t="s">
        <v>485</v>
      </c>
      <c r="B107" s="131" t="s">
        <v>484</v>
      </c>
      <c r="C107" s="131" t="s">
        <v>483</v>
      </c>
      <c r="D107" s="131" t="s">
        <v>16</v>
      </c>
      <c r="E107" s="130" t="str">
        <f>VLOOKUP(A107:A335,[1]Coefficients!$A$5:$R$232,5,FALSE)</f>
        <v>Haven 507 - Scheldelaan</v>
      </c>
      <c r="F107" s="131">
        <f>VLOOKUP(A107:A335,[1]Coefficients!$A$5:$R$232,6,FALSE)</f>
        <v>420</v>
      </c>
      <c r="G107" s="131">
        <f>VLOOKUP(A107:A335,[1]Coefficients!$A$5:$R$232,7,FALSE)</f>
        <v>2040</v>
      </c>
      <c r="H107" s="130" t="str">
        <f>VLOOKUP(A107:A335,[1]Coefficients!$A$5:$R$232,8,FALSE)</f>
        <v>ANTWERPEN</v>
      </c>
      <c r="I107" s="130" t="s">
        <v>1039</v>
      </c>
      <c r="J107" s="131" t="s">
        <v>305</v>
      </c>
      <c r="K107" s="130" t="s">
        <v>7</v>
      </c>
      <c r="L107" s="130" t="s">
        <v>6</v>
      </c>
      <c r="M107" s="130">
        <v>1</v>
      </c>
      <c r="N107" s="130">
        <v>0</v>
      </c>
      <c r="O107" s="130">
        <v>0</v>
      </c>
      <c r="P107" s="131" t="str">
        <f>VLOOKUP(A107:A334,[1]Coefficients!$A$5:$T$232,19,FALSE)</f>
        <v>22ZFL217590----1</v>
      </c>
      <c r="Q107" s="131"/>
      <c r="R107" s="95"/>
    </row>
    <row r="108" spans="1:18" s="94" customFormat="1" ht="20.25" customHeight="1" x14ac:dyDescent="0.2">
      <c r="A108" s="128" t="s">
        <v>480</v>
      </c>
      <c r="B108" s="129" t="s">
        <v>482</v>
      </c>
      <c r="C108" s="129" t="s">
        <v>481</v>
      </c>
      <c r="D108" s="129" t="s">
        <v>16</v>
      </c>
      <c r="E108" s="128" t="str">
        <f>VLOOKUP(A108:A336,[1]Coefficients!$A$5:$R$232,5,FALSE)</f>
        <v>Haven 1520 - Ketenislaan</v>
      </c>
      <c r="F108" s="129" t="str">
        <f>VLOOKUP(A108:A336,[1]Coefficients!$A$5:$R$232,6,FALSE)</f>
        <v>1C</v>
      </c>
      <c r="G108" s="129">
        <f>VLOOKUP(A108:A336,[1]Coefficients!$A$5:$R$232,7,FALSE)</f>
        <v>9130</v>
      </c>
      <c r="H108" s="128" t="str">
        <f>VLOOKUP(A108:A336,[1]Coefficients!$A$5:$R$232,8,FALSE)</f>
        <v>KALLO</v>
      </c>
      <c r="I108" s="128" t="s">
        <v>480</v>
      </c>
      <c r="J108" s="129" t="s">
        <v>479</v>
      </c>
      <c r="K108" s="128" t="s">
        <v>13</v>
      </c>
      <c r="L108" s="128" t="s">
        <v>6</v>
      </c>
      <c r="M108" s="128">
        <v>1</v>
      </c>
      <c r="N108" s="130">
        <v>0</v>
      </c>
      <c r="O108" s="128">
        <v>0</v>
      </c>
      <c r="P108" s="129" t="str">
        <f>VLOOKUP(A108:A335,[1]Coefficients!$A$5:$T$232,19,FALSE)</f>
        <v>22ZFL428890----A</v>
      </c>
      <c r="Q108" s="129"/>
      <c r="R108" s="95"/>
    </row>
    <row r="109" spans="1:18" s="94" customFormat="1" ht="20.25" customHeight="1" x14ac:dyDescent="0.2">
      <c r="A109" s="130" t="s">
        <v>476</v>
      </c>
      <c r="B109" s="131" t="s">
        <v>478</v>
      </c>
      <c r="C109" s="131" t="s">
        <v>477</v>
      </c>
      <c r="D109" s="131" t="s">
        <v>16</v>
      </c>
      <c r="E109" s="130" t="str">
        <f>VLOOKUP(A109:A337,[1]Coefficients!$A$5:$R$232,5,FALSE)</f>
        <v>Usine de ON</v>
      </c>
      <c r="F109" s="131" t="str">
        <f>VLOOKUP(A109:A337,[1]Coefficients!$A$5:$R$232,6,FALSE)</f>
        <v>z/n</v>
      </c>
      <c r="G109" s="131">
        <f>VLOOKUP(A109:A337,[1]Coefficients!$A$5:$R$232,7,FALSE)</f>
        <v>6900</v>
      </c>
      <c r="H109" s="130" t="str">
        <f>VLOOKUP(A109:A337,[1]Coefficients!$A$5:$R$232,8,FALSE)</f>
        <v>MARCHE-EN-FAMENNE</v>
      </c>
      <c r="I109" s="130" t="s">
        <v>476</v>
      </c>
      <c r="J109" s="131" t="s">
        <v>475</v>
      </c>
      <c r="K109" s="130" t="s">
        <v>13</v>
      </c>
      <c r="L109" s="130" t="s">
        <v>6</v>
      </c>
      <c r="M109" s="130">
        <v>1</v>
      </c>
      <c r="N109" s="130">
        <v>0</v>
      </c>
      <c r="O109" s="130">
        <v>0</v>
      </c>
      <c r="P109" s="131" t="str">
        <f>VLOOKUP(A109:A336,[1]Coefficients!$A$5:$T$232,19,FALSE)</f>
        <v>22ZFL004786----F</v>
      </c>
      <c r="Q109" s="131"/>
      <c r="R109" s="95"/>
    </row>
    <row r="110" spans="1:18" s="94" customFormat="1" ht="20.25" customHeight="1" x14ac:dyDescent="0.2">
      <c r="A110" s="128" t="s">
        <v>1040</v>
      </c>
      <c r="B110" s="129" t="s">
        <v>893</v>
      </c>
      <c r="C110" s="129" t="s">
        <v>892</v>
      </c>
      <c r="D110" s="129" t="s">
        <v>16</v>
      </c>
      <c r="E110" s="128" t="str">
        <f>VLOOKUP(A110:A338,[1]Coefficients!$A$5:$R$232,5,FALSE)</f>
        <v>Avenue de l'Europe</v>
      </c>
      <c r="F110" s="129" t="str">
        <f>VLOOKUP(A110:A338,[1]Coefficients!$A$5:$R$232,6,FALSE)</f>
        <v>z/n</v>
      </c>
      <c r="G110" s="129">
        <f>VLOOKUP(A110:A338,[1]Coefficients!$A$5:$R$232,7,FALSE)</f>
        <v>6791</v>
      </c>
      <c r="H110" s="128" t="str">
        <f>VLOOKUP(A110:A338,[1]Coefficients!$A$5:$R$232,8,FALSE)</f>
        <v>ATHUS</v>
      </c>
      <c r="I110" s="128" t="s">
        <v>1041</v>
      </c>
      <c r="J110" s="129" t="s">
        <v>891</v>
      </c>
      <c r="K110" s="128" t="s">
        <v>13</v>
      </c>
      <c r="L110" s="128" t="s">
        <v>6</v>
      </c>
      <c r="M110" s="128">
        <v>1</v>
      </c>
      <c r="N110" s="130">
        <v>0</v>
      </c>
      <c r="O110" s="128">
        <v>0</v>
      </c>
      <c r="P110" s="129" t="str">
        <f>VLOOKUP(A110:A337,[1]Coefficients!$A$5:$T$232,19,FALSE)</f>
        <v>22ZFL875550----W</v>
      </c>
      <c r="Q110" s="129"/>
      <c r="R110" s="95"/>
    </row>
    <row r="111" spans="1:18" s="94" customFormat="1" ht="20.25" customHeight="1" x14ac:dyDescent="0.2">
      <c r="A111" s="130" t="s">
        <v>472</v>
      </c>
      <c r="B111" s="131" t="s">
        <v>474</v>
      </c>
      <c r="C111" s="131" t="s">
        <v>473</v>
      </c>
      <c r="D111" s="131" t="s">
        <v>16</v>
      </c>
      <c r="E111" s="130" t="str">
        <f>VLOOKUP(A111:A339,[1]Coefficients!$A$5:$R$232,5,FALSE)</f>
        <v>Balendijk</v>
      </c>
      <c r="F111" s="131">
        <f>VLOOKUP(A111:A339,[1]Coefficients!$A$5:$R$232,6,FALSE)</f>
        <v>161</v>
      </c>
      <c r="G111" s="131">
        <f>VLOOKUP(A111:A339,[1]Coefficients!$A$5:$R$232,7,FALSE)</f>
        <v>3920</v>
      </c>
      <c r="H111" s="130" t="str">
        <f>VLOOKUP(A111:A339,[1]Coefficients!$A$5:$R$232,8,FALSE)</f>
        <v>LOMMEL</v>
      </c>
      <c r="I111" s="130" t="s">
        <v>472</v>
      </c>
      <c r="J111" s="131" t="s">
        <v>471</v>
      </c>
      <c r="K111" s="130" t="s">
        <v>13</v>
      </c>
      <c r="L111" s="130" t="s">
        <v>6</v>
      </c>
      <c r="M111" s="130">
        <v>1</v>
      </c>
      <c r="N111" s="130">
        <v>0</v>
      </c>
      <c r="O111" s="130">
        <v>0</v>
      </c>
      <c r="P111" s="131" t="str">
        <f>VLOOKUP(A111:A338,[1]Coefficients!$A$5:$T$232,19,FALSE)</f>
        <v>22ZFL004695----M</v>
      </c>
      <c r="Q111" s="131" t="str">
        <f>VLOOKUP(A111:A338,[1]Coefficients!$A$5:$T$232,20,FALSE)</f>
        <v>01/09/2015 - Done</v>
      </c>
      <c r="R111" s="95"/>
    </row>
    <row r="112" spans="1:18" s="94" customFormat="1" ht="20.25" customHeight="1" x14ac:dyDescent="0.2">
      <c r="A112" s="128" t="s">
        <v>468</v>
      </c>
      <c r="B112" s="129" t="s">
        <v>470</v>
      </c>
      <c r="C112" s="129" t="s">
        <v>469</v>
      </c>
      <c r="D112" s="129" t="s">
        <v>16</v>
      </c>
      <c r="E112" s="128" t="str">
        <f>VLOOKUP(A112:A340,[1]Coefficients!$A$5:$R$232,5,FALSE)</f>
        <v>Zone Industrielle du Vieux Pont</v>
      </c>
      <c r="F112" s="129">
        <f>VLOOKUP(A112:A340,[1]Coefficients!$A$5:$R$232,6,FALSE)</f>
        <v>5</v>
      </c>
      <c r="G112" s="129">
        <f>VLOOKUP(A112:A340,[1]Coefficients!$A$5:$R$232,7,FALSE)</f>
        <v>7900</v>
      </c>
      <c r="H112" s="128" t="str">
        <f>VLOOKUP(A112:A340,[1]Coefficients!$A$5:$R$232,8,FALSE)</f>
        <v>LEUZE-EN-HAINAUT</v>
      </c>
      <c r="I112" s="128" t="s">
        <v>468</v>
      </c>
      <c r="J112" s="129" t="s">
        <v>467</v>
      </c>
      <c r="K112" s="128" t="s">
        <v>13</v>
      </c>
      <c r="L112" s="128" t="s">
        <v>6</v>
      </c>
      <c r="M112" s="128">
        <v>1</v>
      </c>
      <c r="N112" s="130">
        <v>0</v>
      </c>
      <c r="O112" s="128">
        <v>0</v>
      </c>
      <c r="P112" s="129" t="str">
        <f>VLOOKUP(A112:A339,[1]Coefficients!$A$5:$T$232,19,FALSE)</f>
        <v>22ZFL443030----U</v>
      </c>
      <c r="Q112" s="129"/>
      <c r="R112" s="95"/>
    </row>
    <row r="113" spans="1:18" s="94" customFormat="1" ht="20.25" customHeight="1" x14ac:dyDescent="0.2">
      <c r="A113" s="130" t="s">
        <v>464</v>
      </c>
      <c r="B113" s="131" t="s">
        <v>466</v>
      </c>
      <c r="C113" s="131" t="s">
        <v>465</v>
      </c>
      <c r="D113" s="131" t="s">
        <v>16</v>
      </c>
      <c r="E113" s="130" t="str">
        <f>VLOOKUP(A113:A341,[1]Coefficients!$A$5:$R$232,5,FALSE)</f>
        <v>Rue du Roi Chevalier</v>
      </c>
      <c r="F113" s="131">
        <f>VLOOKUP(A113:A341,[1]Coefficients!$A$5:$R$232,6,FALSE)</f>
        <v>1</v>
      </c>
      <c r="G113" s="131">
        <f>VLOOKUP(A113:A341,[1]Coefficients!$A$5:$R$232,7,FALSE)</f>
        <v>5024</v>
      </c>
      <c r="H113" s="130" t="str">
        <f>VLOOKUP(A113:A341,[1]Coefficients!$A$5:$R$232,8,FALSE)</f>
        <v>MARCHE-LES-DAMES</v>
      </c>
      <c r="I113" s="130" t="s">
        <v>464</v>
      </c>
      <c r="J113" s="131" t="s">
        <v>463</v>
      </c>
      <c r="K113" s="130" t="s">
        <v>13</v>
      </c>
      <c r="L113" s="130" t="s">
        <v>6</v>
      </c>
      <c r="M113" s="130">
        <v>1</v>
      </c>
      <c r="N113" s="128">
        <v>1</v>
      </c>
      <c r="O113" s="130">
        <v>1</v>
      </c>
      <c r="P113" s="131" t="str">
        <f>VLOOKUP(A113:A340,[1]Coefficients!$A$5:$T$232,19,FALSE)</f>
        <v>22ZFL867650----G</v>
      </c>
      <c r="Q113" s="131"/>
      <c r="R113" s="95"/>
    </row>
    <row r="114" spans="1:18" s="94" customFormat="1" ht="20.25" customHeight="1" x14ac:dyDescent="0.2">
      <c r="A114" s="128" t="s">
        <v>460</v>
      </c>
      <c r="B114" s="129" t="s">
        <v>462</v>
      </c>
      <c r="C114" s="129" t="s">
        <v>461</v>
      </c>
      <c r="D114" s="129" t="s">
        <v>16</v>
      </c>
      <c r="E114" s="128" t="str">
        <f>VLOOKUP(A114:A342,[1]Coefficients!$A$5:$R$232,5,FALSE)</f>
        <v>Rue de la Hart</v>
      </c>
      <c r="F114" s="129">
        <f>VLOOKUP(A114:A342,[1]Coefficients!$A$5:$R$232,6,FALSE)</f>
        <v>1</v>
      </c>
      <c r="G114" s="129">
        <f>VLOOKUP(A114:A342,[1]Coefficients!$A$5:$R$232,7,FALSE)</f>
        <v>6780</v>
      </c>
      <c r="H114" s="128" t="str">
        <f>VLOOKUP(A114:A342,[1]Coefficients!$A$5:$R$232,8,FALSE)</f>
        <v>MESSANCY</v>
      </c>
      <c r="I114" s="128" t="s">
        <v>460</v>
      </c>
      <c r="J114" s="129" t="s">
        <v>459</v>
      </c>
      <c r="K114" s="128" t="s">
        <v>13</v>
      </c>
      <c r="L114" s="128" t="s">
        <v>6</v>
      </c>
      <c r="M114" s="128">
        <v>1</v>
      </c>
      <c r="N114" s="130">
        <v>0</v>
      </c>
      <c r="O114" s="128">
        <v>0</v>
      </c>
      <c r="P114" s="129" t="str">
        <f>VLOOKUP(A114:A341,[1]Coefficients!$A$5:$T$232,19,FALSE)</f>
        <v>22ZFL875410----V</v>
      </c>
      <c r="Q114" s="129"/>
      <c r="R114" s="95"/>
    </row>
    <row r="115" spans="1:18" s="94" customFormat="1" ht="20.25" customHeight="1" x14ac:dyDescent="0.2">
      <c r="A115" s="130" t="s">
        <v>458</v>
      </c>
      <c r="B115" s="131" t="s">
        <v>457</v>
      </c>
      <c r="C115" s="131" t="s">
        <v>456</v>
      </c>
      <c r="D115" s="131" t="s">
        <v>16</v>
      </c>
      <c r="E115" s="130" t="str">
        <f>VLOOKUP(A115:A343,[1]Coefficients!$A$5:$R$232,5,FALSE)</f>
        <v>Rue Prés de la Tour</v>
      </c>
      <c r="F115" s="131">
        <f>VLOOKUP(A115:A343,[1]Coefficients!$A$5:$R$232,6,FALSE)</f>
        <v>55</v>
      </c>
      <c r="G115" s="131">
        <f>VLOOKUP(A115:A343,[1]Coefficients!$A$5:$R$232,7,FALSE)</f>
        <v>4051</v>
      </c>
      <c r="H115" s="130" t="str">
        <f>VLOOKUP(A115:A343,[1]Coefficients!$A$5:$R$232,8,FALSE)</f>
        <v>VAUX-SUR-CHEVREMONT</v>
      </c>
      <c r="I115" s="130" t="s">
        <v>455</v>
      </c>
      <c r="J115" s="131" t="s">
        <v>454</v>
      </c>
      <c r="K115" s="130" t="s">
        <v>13</v>
      </c>
      <c r="L115" s="130" t="s">
        <v>6</v>
      </c>
      <c r="M115" s="130">
        <v>1</v>
      </c>
      <c r="N115" s="128">
        <v>1</v>
      </c>
      <c r="O115" s="130">
        <v>1</v>
      </c>
      <c r="P115" s="131" t="str">
        <f>VLOOKUP(A115:A342,[1]Coefficients!$A$5:$T$232,19,FALSE)</f>
        <v>22ZFL836210----4</v>
      </c>
      <c r="Q115" s="131"/>
      <c r="R115" s="95"/>
    </row>
    <row r="116" spans="1:18" s="94" customFormat="1" ht="20.25" customHeight="1" x14ac:dyDescent="0.2">
      <c r="A116" s="128" t="s">
        <v>453</v>
      </c>
      <c r="B116" s="129" t="s">
        <v>452</v>
      </c>
      <c r="C116" s="129" t="s">
        <v>451</v>
      </c>
      <c r="D116" s="129" t="s">
        <v>16</v>
      </c>
      <c r="E116" s="128" t="str">
        <f>VLOOKUP(A116:A344,[1]Coefficients!$A$5:$R$232,5,FALSE)</f>
        <v>Rue Verte Voie</v>
      </c>
      <c r="F116" s="129">
        <f>VLOOKUP(A116:A344,[1]Coefficients!$A$5:$R$232,6,FALSE)</f>
        <v>75</v>
      </c>
      <c r="G116" s="129">
        <f>VLOOKUP(A116:A344,[1]Coefficients!$A$5:$R$232,7,FALSE)</f>
        <v>4102</v>
      </c>
      <c r="H116" s="128" t="str">
        <f>VLOOKUP(A116:A344,[1]Coefficients!$A$5:$R$232,8,FALSE)</f>
        <v>OUGREE</v>
      </c>
      <c r="I116" s="128" t="s">
        <v>450</v>
      </c>
      <c r="J116" s="129" t="s">
        <v>449</v>
      </c>
      <c r="K116" s="128" t="s">
        <v>13</v>
      </c>
      <c r="L116" s="128" t="s">
        <v>6</v>
      </c>
      <c r="M116" s="128">
        <v>1</v>
      </c>
      <c r="N116" s="128">
        <v>1</v>
      </c>
      <c r="O116" s="128">
        <v>1</v>
      </c>
      <c r="P116" s="129" t="str">
        <f>VLOOKUP(A116:A343,[1]Coefficients!$A$5:$T$232,19,FALSE)</f>
        <v>22ZFL005301----D</v>
      </c>
      <c r="Q116" s="129"/>
      <c r="R116" s="95"/>
    </row>
    <row r="117" spans="1:18" s="94" customFormat="1" ht="20.25" customHeight="1" x14ac:dyDescent="0.2">
      <c r="A117" s="130" t="s">
        <v>446</v>
      </c>
      <c r="B117" s="131" t="s">
        <v>448</v>
      </c>
      <c r="C117" s="131" t="s">
        <v>447</v>
      </c>
      <c r="D117" s="131" t="s">
        <v>16</v>
      </c>
      <c r="E117" s="130" t="str">
        <f>VLOOKUP(A117:A345,[1]Coefficients!$A$5:$R$232,5,FALSE)</f>
        <v>Route des Ayettes</v>
      </c>
      <c r="F117" s="131">
        <f>VLOOKUP(A117:A345,[1]Coefficients!$A$5:$R$232,6,FALSE)</f>
        <v>2</v>
      </c>
      <c r="G117" s="131">
        <f>VLOOKUP(A117:A345,[1]Coefficients!$A$5:$R$232,7,FALSE)</f>
        <v>7011</v>
      </c>
      <c r="H117" s="130" t="str">
        <f>VLOOKUP(A117:A345,[1]Coefficients!$A$5:$R$232,8,FALSE)</f>
        <v>GHLIN</v>
      </c>
      <c r="I117" s="130" t="s">
        <v>446</v>
      </c>
      <c r="J117" s="131" t="s">
        <v>445</v>
      </c>
      <c r="K117" s="130" t="s">
        <v>13</v>
      </c>
      <c r="L117" s="130" t="s">
        <v>6</v>
      </c>
      <c r="M117" s="130">
        <v>1</v>
      </c>
      <c r="N117" s="128">
        <v>1</v>
      </c>
      <c r="O117" s="130">
        <v>1</v>
      </c>
      <c r="P117" s="131" t="str">
        <f>VLOOKUP(A117:A344,[1]Coefficients!$A$5:$T$232,19,FALSE)</f>
        <v>22ZFL004773----3</v>
      </c>
      <c r="Q117" s="131"/>
      <c r="R117" s="95"/>
    </row>
    <row r="118" spans="1:18" s="94" customFormat="1" ht="20.25" customHeight="1" x14ac:dyDescent="0.2">
      <c r="A118" s="128" t="s">
        <v>442</v>
      </c>
      <c r="B118" s="129" t="s">
        <v>444</v>
      </c>
      <c r="C118" s="129" t="s">
        <v>443</v>
      </c>
      <c r="D118" s="129" t="s">
        <v>16</v>
      </c>
      <c r="E118" s="128" t="str">
        <f>VLOOKUP(A118:A346,[1]Coefficients!$A$5:$R$232,5,FALSE)</f>
        <v>Nieuwe Dreef</v>
      </c>
      <c r="F118" s="129">
        <f>VLOOKUP(A118:A346,[1]Coefficients!$A$5:$R$232,6,FALSE)</f>
        <v>33</v>
      </c>
      <c r="G118" s="129">
        <f>VLOOKUP(A118:A346,[1]Coefficients!$A$5:$R$232,7,FALSE)</f>
        <v>2340</v>
      </c>
      <c r="H118" s="128" t="str">
        <f>VLOOKUP(A118:A346,[1]Coefficients!$A$5:$R$232,8,FALSE)</f>
        <v>BEERSE</v>
      </c>
      <c r="I118" s="128" t="s">
        <v>442</v>
      </c>
      <c r="J118" s="129" t="s">
        <v>441</v>
      </c>
      <c r="K118" s="128" t="s">
        <v>13</v>
      </c>
      <c r="L118" s="128" t="s">
        <v>19</v>
      </c>
      <c r="M118" s="128">
        <v>1</v>
      </c>
      <c r="N118" s="130">
        <v>0</v>
      </c>
      <c r="O118" s="128">
        <v>0</v>
      </c>
      <c r="P118" s="129" t="str">
        <f>VLOOKUP(A118:A345,[1]Coefficients!$A$5:$T$232,19,FALSE)</f>
        <v>22ZFL004691----9</v>
      </c>
      <c r="Q118" s="129"/>
      <c r="R118" s="95"/>
    </row>
    <row r="119" spans="1:18" s="94" customFormat="1" ht="20.25" customHeight="1" x14ac:dyDescent="0.2">
      <c r="A119" s="130" t="s">
        <v>438</v>
      </c>
      <c r="B119" s="131" t="s">
        <v>440</v>
      </c>
      <c r="C119" s="131" t="s">
        <v>439</v>
      </c>
      <c r="D119" s="131" t="s">
        <v>16</v>
      </c>
      <c r="E119" s="130" t="str">
        <f>VLOOKUP(A119:A347,[1]Coefficients!$A$5:$R$232,5,FALSE)</f>
        <v>De Beukelaer Pareinlaan</v>
      </c>
      <c r="F119" s="131">
        <f>VLOOKUP(A119:A347,[1]Coefficients!$A$5:$R$232,6,FALSE)</f>
        <v>1</v>
      </c>
      <c r="G119" s="131">
        <f>VLOOKUP(A119:A347,[1]Coefficients!$A$5:$R$232,7,FALSE)</f>
        <v>2200</v>
      </c>
      <c r="H119" s="130" t="str">
        <f>VLOOKUP(A119:A347,[1]Coefficients!$A$5:$R$232,8,FALSE)</f>
        <v>HERENTALS</v>
      </c>
      <c r="I119" s="130" t="s">
        <v>438</v>
      </c>
      <c r="J119" s="131" t="s">
        <v>437</v>
      </c>
      <c r="K119" s="130" t="s">
        <v>13</v>
      </c>
      <c r="L119" s="130" t="s">
        <v>19</v>
      </c>
      <c r="M119" s="130">
        <v>1</v>
      </c>
      <c r="N119" s="130">
        <v>0</v>
      </c>
      <c r="O119" s="130">
        <v>0</v>
      </c>
      <c r="P119" s="131" t="str">
        <f>VLOOKUP(A119:A346,[1]Coefficients!$A$5:$T$232,19,FALSE)</f>
        <v>22ZFL004689----5</v>
      </c>
      <c r="Q119" s="131"/>
      <c r="R119" s="95"/>
    </row>
    <row r="120" spans="1:18" s="94" customFormat="1" ht="20.25" customHeight="1" x14ac:dyDescent="0.2">
      <c r="A120" s="128" t="s">
        <v>434</v>
      </c>
      <c r="B120" s="129" t="s">
        <v>436</v>
      </c>
      <c r="C120" s="129" t="s">
        <v>435</v>
      </c>
      <c r="D120" s="129" t="s">
        <v>16</v>
      </c>
      <c r="E120" s="128" t="str">
        <f>VLOOKUP(A120:A348,[1]Coefficients!$A$5:$R$232,5,FALSE)</f>
        <v>Scheldelaan</v>
      </c>
      <c r="F120" s="129">
        <f>VLOOKUP(A120:A348,[1]Coefficients!$A$5:$R$232,6,FALSE)</f>
        <v>627</v>
      </c>
      <c r="G120" s="129">
        <f>VLOOKUP(A120:A348,[1]Coefficients!$A$5:$R$232,7,FALSE)</f>
        <v>2040</v>
      </c>
      <c r="H120" s="128" t="str">
        <f>VLOOKUP(A120:A348,[1]Coefficients!$A$5:$R$232,8,FALSE)</f>
        <v>ANTWERPEN</v>
      </c>
      <c r="I120" s="128" t="s">
        <v>434</v>
      </c>
      <c r="J120" s="129" t="s">
        <v>433</v>
      </c>
      <c r="K120" s="128" t="s">
        <v>13</v>
      </c>
      <c r="L120" s="128" t="s">
        <v>6</v>
      </c>
      <c r="M120" s="128">
        <v>1</v>
      </c>
      <c r="N120" s="130">
        <v>0</v>
      </c>
      <c r="O120" s="128">
        <v>0</v>
      </c>
      <c r="P120" s="129" t="str">
        <f>VLOOKUP(A120:A347,[1]Coefficients!$A$5:$T$232,19,FALSE)</f>
        <v>22ZFL004719----9</v>
      </c>
      <c r="Q120" s="129"/>
      <c r="R120" s="95"/>
    </row>
    <row r="121" spans="1:18" s="94" customFormat="1" ht="20.25" customHeight="1" x14ac:dyDescent="0.2">
      <c r="A121" s="130" t="s">
        <v>430</v>
      </c>
      <c r="B121" s="131" t="s">
        <v>432</v>
      </c>
      <c r="C121" s="131" t="s">
        <v>431</v>
      </c>
      <c r="D121" s="131" t="s">
        <v>16</v>
      </c>
      <c r="E121" s="130" t="str">
        <f>VLOOKUP(A121:A349,[1]Coefficients!$A$5:$R$232,5,FALSE)</f>
        <v>Haven 1972 - Ketenislaan</v>
      </c>
      <c r="F121" s="131">
        <f>VLOOKUP(A121:A349,[1]Coefficients!$A$5:$R$232,6,FALSE)</f>
        <v>3</v>
      </c>
      <c r="G121" s="131">
        <f>VLOOKUP(A121:A349,[1]Coefficients!$A$5:$R$232,7,FALSE)</f>
        <v>9130</v>
      </c>
      <c r="H121" s="130" t="str">
        <f>VLOOKUP(A121:A349,[1]Coefficients!$A$5:$R$232,8,FALSE)</f>
        <v>KALLO (KIELDRECHT)</v>
      </c>
      <c r="I121" s="130" t="s">
        <v>430</v>
      </c>
      <c r="J121" s="131" t="s">
        <v>429</v>
      </c>
      <c r="K121" s="130" t="s">
        <v>13</v>
      </c>
      <c r="L121" s="130" t="s">
        <v>6</v>
      </c>
      <c r="M121" s="130">
        <v>1</v>
      </c>
      <c r="N121" s="130">
        <v>0</v>
      </c>
      <c r="O121" s="130">
        <v>0</v>
      </c>
      <c r="P121" s="131" t="str">
        <f>VLOOKUP(A121:A348,[1]Coefficients!$A$5:$T$232,19,FALSE)</f>
        <v>22ZFL214430----4</v>
      </c>
      <c r="Q121" s="131"/>
      <c r="R121" s="95"/>
    </row>
    <row r="122" spans="1:18" s="94" customFormat="1" ht="20.25" customHeight="1" x14ac:dyDescent="0.2">
      <c r="A122" s="128" t="s">
        <v>426</v>
      </c>
      <c r="B122" s="129" t="s">
        <v>428</v>
      </c>
      <c r="C122" s="129" t="s">
        <v>427</v>
      </c>
      <c r="D122" s="129" t="s">
        <v>16</v>
      </c>
      <c r="E122" s="128" t="str">
        <f>VLOOKUP(A122:A350,[1]Coefficients!$A$5:$R$232,5,FALSE)</f>
        <v>Kanaaldijk Z/N</v>
      </c>
      <c r="F122" s="129" t="str">
        <f>VLOOKUP(A122:A350,[1]Coefficients!$A$5:$R$232,6,FALSE)</f>
        <v>z/n</v>
      </c>
      <c r="G122" s="129">
        <f>VLOOKUP(A122:A350,[1]Coefficients!$A$5:$R$232,7,FALSE)</f>
        <v>2870</v>
      </c>
      <c r="H122" s="128" t="str">
        <f>VLOOKUP(A122:A350,[1]Coefficients!$A$5:$R$232,8,FALSE)</f>
        <v>PUURS</v>
      </c>
      <c r="I122" s="128" t="s">
        <v>426</v>
      </c>
      <c r="J122" s="129" t="s">
        <v>425</v>
      </c>
      <c r="K122" s="128" t="s">
        <v>13</v>
      </c>
      <c r="L122" s="128" t="s">
        <v>19</v>
      </c>
      <c r="M122" s="128">
        <v>1</v>
      </c>
      <c r="N122" s="128">
        <v>1</v>
      </c>
      <c r="O122" s="128">
        <v>0</v>
      </c>
      <c r="P122" s="129" t="str">
        <f>VLOOKUP(A122:A349,[1]Coefficients!$A$5:$T$232,19,FALSE)</f>
        <v>22ZFL004731----6</v>
      </c>
      <c r="Q122" s="129"/>
      <c r="R122" s="95"/>
    </row>
    <row r="123" spans="1:18" s="94" customFormat="1" ht="20.25" customHeight="1" x14ac:dyDescent="0.2">
      <c r="A123" s="130" t="s">
        <v>422</v>
      </c>
      <c r="B123" s="131" t="s">
        <v>424</v>
      </c>
      <c r="C123" s="131" t="s">
        <v>423</v>
      </c>
      <c r="D123" s="131" t="s">
        <v>16</v>
      </c>
      <c r="E123" s="130" t="str">
        <f>VLOOKUP(A123:A351,[1]Coefficients!$A$5:$R$232,5,FALSE)</f>
        <v>Rue des Azalées</v>
      </c>
      <c r="F123" s="131">
        <f>VLOOKUP(A123:A351,[1]Coefficients!$A$5:$R$232,6,FALSE)</f>
        <v>1</v>
      </c>
      <c r="G123" s="131">
        <f>VLOOKUP(A123:A351,[1]Coefficients!$A$5:$R$232,7,FALSE)</f>
        <v>7331</v>
      </c>
      <c r="H123" s="130" t="str">
        <f>VLOOKUP(A123:A351,[1]Coefficients!$A$5:$R$232,8,FALSE)</f>
        <v>BAUDOUR</v>
      </c>
      <c r="I123" s="130" t="s">
        <v>422</v>
      </c>
      <c r="J123" s="131" t="s">
        <v>421</v>
      </c>
      <c r="K123" s="130" t="s">
        <v>13</v>
      </c>
      <c r="L123" s="130" t="s">
        <v>6</v>
      </c>
      <c r="M123" s="130">
        <v>1</v>
      </c>
      <c r="N123" s="128">
        <v>1</v>
      </c>
      <c r="O123" s="130">
        <v>1</v>
      </c>
      <c r="P123" s="131" t="str">
        <f>VLOOKUP(A123:A350,[1]Coefficients!$A$5:$T$232,19,FALSE)</f>
        <v>22ZFL004771----F</v>
      </c>
      <c r="Q123" s="131"/>
      <c r="R123" s="95"/>
    </row>
    <row r="124" spans="1:18" s="94" customFormat="1" ht="20.25" customHeight="1" x14ac:dyDescent="0.2">
      <c r="A124" s="128" t="s">
        <v>418</v>
      </c>
      <c r="B124" s="129" t="s">
        <v>420</v>
      </c>
      <c r="C124" s="129" t="s">
        <v>419</v>
      </c>
      <c r="D124" s="129" t="s">
        <v>16</v>
      </c>
      <c r="E124" s="128" t="str">
        <f>VLOOKUP(A124:A352,[1]Coefficients!$A$5:$R$232,5,FALSE)</f>
        <v>Eikelaarstraat</v>
      </c>
      <c r="F124" s="129">
        <f>VLOOKUP(A124:A352,[1]Coefficients!$A$5:$R$232,6,FALSE)</f>
        <v>22</v>
      </c>
      <c r="G124" s="129">
        <f>VLOOKUP(A124:A352,[1]Coefficients!$A$5:$R$232,7,FALSE)</f>
        <v>3600</v>
      </c>
      <c r="H124" s="128" t="str">
        <f>VLOOKUP(A124:A352,[1]Coefficients!$A$5:$R$232,8,FALSE)</f>
        <v>GENK</v>
      </c>
      <c r="I124" s="128" t="s">
        <v>418</v>
      </c>
      <c r="J124" s="129" t="s">
        <v>417</v>
      </c>
      <c r="K124" s="128" t="s">
        <v>13</v>
      </c>
      <c r="L124" s="128" t="s">
        <v>6</v>
      </c>
      <c r="M124" s="128">
        <v>1</v>
      </c>
      <c r="N124" s="128">
        <v>1</v>
      </c>
      <c r="O124" s="128">
        <v>0</v>
      </c>
      <c r="P124" s="129" t="str">
        <f>VLOOKUP(A124:A351,[1]Coefficients!$A$5:$T$232,19,FALSE)</f>
        <v>22ZFL005613----7</v>
      </c>
      <c r="Q124" s="129"/>
      <c r="R124" s="95"/>
    </row>
    <row r="125" spans="1:18" s="94" customFormat="1" ht="20.25" customHeight="1" x14ac:dyDescent="0.2">
      <c r="A125" s="130" t="s">
        <v>414</v>
      </c>
      <c r="B125" s="131" t="s">
        <v>416</v>
      </c>
      <c r="C125" s="131" t="s">
        <v>415</v>
      </c>
      <c r="D125" s="131" t="s">
        <v>16</v>
      </c>
      <c r="E125" s="130" t="str">
        <f>VLOOKUP(A125:A353,[1]Coefficients!$A$5:$R$232,5,FALSE)</f>
        <v>rue de Clabecq</v>
      </c>
      <c r="F125" s="131">
        <f>VLOOKUP(A125:A353,[1]Coefficients!$A$5:$R$232,6,FALSE)</f>
        <v>101</v>
      </c>
      <c r="G125" s="131">
        <f>VLOOKUP(A125:A353,[1]Coefficients!$A$5:$R$232,7,FALSE)</f>
        <v>1460</v>
      </c>
      <c r="H125" s="130" t="str">
        <f>VLOOKUP(A125:A353,[1]Coefficients!$A$5:$R$232,8,FALSE)</f>
        <v>ITTRE</v>
      </c>
      <c r="I125" s="130" t="s">
        <v>414</v>
      </c>
      <c r="J125" s="131" t="s">
        <v>413</v>
      </c>
      <c r="K125" s="130" t="s">
        <v>13</v>
      </c>
      <c r="L125" s="130" t="s">
        <v>19</v>
      </c>
      <c r="M125" s="130">
        <v>1</v>
      </c>
      <c r="N125" s="130">
        <v>0</v>
      </c>
      <c r="O125" s="130">
        <v>0</v>
      </c>
      <c r="P125" s="131" t="str">
        <f>VLOOKUP(A125:A352,[1]Coefficients!$A$5:$T$232,19,FALSE)</f>
        <v>22ZFL004733----V</v>
      </c>
      <c r="Q125" s="131"/>
      <c r="R125" s="95"/>
    </row>
    <row r="126" spans="1:18" s="94" customFormat="1" ht="20.25" customHeight="1" x14ac:dyDescent="0.2">
      <c r="A126" s="128" t="s">
        <v>410</v>
      </c>
      <c r="B126" s="129" t="s">
        <v>412</v>
      </c>
      <c r="C126" s="129" t="s">
        <v>411</v>
      </c>
      <c r="D126" s="129" t="s">
        <v>16</v>
      </c>
      <c r="E126" s="128" t="str">
        <f>VLOOKUP(A126:A354,[1]Coefficients!$A$5:$R$232,5,FALSE)</f>
        <v>Rue des rivaux</v>
      </c>
      <c r="F126" s="129">
        <f>VLOOKUP(A126:A354,[1]Coefficients!$A$5:$R$232,6,FALSE)</f>
        <v>2</v>
      </c>
      <c r="G126" s="129">
        <f>VLOOKUP(A126:A354,[1]Coefficients!$A$5:$R$232,7,FALSE)</f>
        <v>7100</v>
      </c>
      <c r="H126" s="128" t="str">
        <f>VLOOKUP(A126:A354,[1]Coefficients!$A$5:$R$232,8,FALSE)</f>
        <v>LA LOUVIERE</v>
      </c>
      <c r="I126" s="128" t="s">
        <v>410</v>
      </c>
      <c r="J126" s="129" t="s">
        <v>409</v>
      </c>
      <c r="K126" s="128" t="s">
        <v>13</v>
      </c>
      <c r="L126" s="128" t="s">
        <v>6</v>
      </c>
      <c r="M126" s="128">
        <v>1</v>
      </c>
      <c r="N126" s="130">
        <v>0</v>
      </c>
      <c r="O126" s="128">
        <v>0</v>
      </c>
      <c r="P126" s="129" t="str">
        <f>VLOOKUP(A126:A353,[1]Coefficients!$A$5:$T$232,19,FALSE)</f>
        <v>22ZFL005907----3</v>
      </c>
      <c r="Q126" s="129"/>
      <c r="R126" s="95"/>
    </row>
    <row r="127" spans="1:18" s="94" customFormat="1" ht="20.25" customHeight="1" x14ac:dyDescent="0.2">
      <c r="A127" s="130" t="s">
        <v>406</v>
      </c>
      <c r="B127" s="131" t="s">
        <v>408</v>
      </c>
      <c r="C127" s="131" t="s">
        <v>407</v>
      </c>
      <c r="D127" s="131" t="s">
        <v>16</v>
      </c>
      <c r="E127" s="130" t="str">
        <f>VLOOKUP(A127:A355,[1]Coefficients!$A$5:$R$232,5,FALSE)</f>
        <v>Eikelaarstraat</v>
      </c>
      <c r="F127" s="131">
        <f>VLOOKUP(A127:A355,[1]Coefficients!$A$5:$R$232,6,FALSE)</f>
        <v>33</v>
      </c>
      <c r="G127" s="131">
        <f>VLOOKUP(A127:A355,[1]Coefficients!$A$5:$R$232,7,FALSE)</f>
        <v>3600</v>
      </c>
      <c r="H127" s="130" t="str">
        <f>VLOOKUP(A127:A355,[1]Coefficients!$A$5:$R$232,8,FALSE)</f>
        <v>GENK</v>
      </c>
      <c r="I127" s="130" t="s">
        <v>406</v>
      </c>
      <c r="J127" s="131" t="s">
        <v>405</v>
      </c>
      <c r="K127" s="130" t="s">
        <v>13</v>
      </c>
      <c r="L127" s="130" t="s">
        <v>6</v>
      </c>
      <c r="M127" s="130">
        <v>1</v>
      </c>
      <c r="N127" s="130">
        <v>0</v>
      </c>
      <c r="O127" s="130">
        <v>0</v>
      </c>
      <c r="P127" s="131" t="str">
        <f>VLOOKUP(A127:A354,[1]Coefficients!$A$5:$T$232,19,FALSE)</f>
        <v>22ZFL005018----P</v>
      </c>
      <c r="Q127" s="131"/>
      <c r="R127" s="95"/>
    </row>
    <row r="128" spans="1:18" s="94" customFormat="1" ht="20.25" customHeight="1" x14ac:dyDescent="0.2">
      <c r="A128" s="128" t="s">
        <v>402</v>
      </c>
      <c r="B128" s="129" t="s">
        <v>404</v>
      </c>
      <c r="C128" s="129" t="s">
        <v>403</v>
      </c>
      <c r="D128" s="129" t="s">
        <v>16</v>
      </c>
      <c r="E128" s="128" t="str">
        <f>VLOOKUP(A128:A356,[1]Coefficients!$A$5:$R$232,5,FALSE)</f>
        <v>Zinkstraat</v>
      </c>
      <c r="F128" s="129">
        <f>VLOOKUP(A128:A356,[1]Coefficients!$A$5:$R$232,6,FALSE)</f>
        <v>1</v>
      </c>
      <c r="G128" s="129">
        <f>VLOOKUP(A128:A356,[1]Coefficients!$A$5:$R$232,7,FALSE)</f>
        <v>2490</v>
      </c>
      <c r="H128" s="128" t="str">
        <f>VLOOKUP(A128:A356,[1]Coefficients!$A$5:$R$232,8,FALSE)</f>
        <v>BALEN</v>
      </c>
      <c r="I128" s="128" t="s">
        <v>402</v>
      </c>
      <c r="J128" s="129" t="s">
        <v>401</v>
      </c>
      <c r="K128" s="128" t="s">
        <v>13</v>
      </c>
      <c r="L128" s="128" t="s">
        <v>6</v>
      </c>
      <c r="M128" s="128">
        <v>1</v>
      </c>
      <c r="N128" s="130">
        <v>0</v>
      </c>
      <c r="O128" s="128">
        <v>0</v>
      </c>
      <c r="P128" s="129" t="str">
        <f>VLOOKUP(A128:A355,[1]Coefficients!$A$5:$T$232,19,FALSE)</f>
        <v>22ZFL114150----P</v>
      </c>
      <c r="Q128" s="129" t="str">
        <f>VLOOKUP(A128:A355,[1]Coefficients!$A$5:$T$232,20,FALSE)</f>
        <v>01/09/2015 - Done</v>
      </c>
      <c r="R128" s="95"/>
    </row>
    <row r="129" spans="1:18" s="94" customFormat="1" ht="20.25" customHeight="1" x14ac:dyDescent="0.2">
      <c r="A129" s="130" t="s">
        <v>398</v>
      </c>
      <c r="B129" s="131" t="s">
        <v>400</v>
      </c>
      <c r="C129" s="131" t="s">
        <v>399</v>
      </c>
      <c r="D129" s="131" t="s">
        <v>16</v>
      </c>
      <c r="E129" s="130" t="str">
        <f>VLOOKUP(A129:A357,[1]Coefficients!$A$5:$R$232,5,FALSE)</f>
        <v>Scheldelaan 450 (Haven 623)</v>
      </c>
      <c r="F129" s="131">
        <f>VLOOKUP(A129:A357,[1]Coefficients!$A$5:$R$232,6,FALSE)</f>
        <v>450</v>
      </c>
      <c r="G129" s="131">
        <f>VLOOKUP(A129:A357,[1]Coefficients!$A$5:$R$232,7,FALSE)</f>
        <v>2040</v>
      </c>
      <c r="H129" s="130" t="str">
        <f>VLOOKUP(A129:A357,[1]Coefficients!$A$5:$R$232,8,FALSE)</f>
        <v>ANTWERPEN</v>
      </c>
      <c r="I129" s="130" t="s">
        <v>398</v>
      </c>
      <c r="J129" s="131" t="s">
        <v>397</v>
      </c>
      <c r="K129" s="130" t="s">
        <v>13</v>
      </c>
      <c r="L129" s="130" t="s">
        <v>19</v>
      </c>
      <c r="M129" s="130">
        <v>1</v>
      </c>
      <c r="N129" s="130">
        <v>0</v>
      </c>
      <c r="O129" s="130">
        <v>0</v>
      </c>
      <c r="P129" s="131" t="str">
        <f>VLOOKUP(A129:A356,[1]Coefficients!$A$5:$T$232,19,FALSE)</f>
        <v>22ZFL211610----T</v>
      </c>
      <c r="Q129" s="131"/>
      <c r="R129" s="95"/>
    </row>
    <row r="130" spans="1:18" s="94" customFormat="1" ht="20.25" customHeight="1" x14ac:dyDescent="0.2">
      <c r="A130" s="128" t="s">
        <v>362</v>
      </c>
      <c r="B130" s="129" t="s">
        <v>396</v>
      </c>
      <c r="C130" s="129" t="s">
        <v>395</v>
      </c>
      <c r="D130" s="129" t="s">
        <v>16</v>
      </c>
      <c r="E130" s="128" t="str">
        <f>VLOOKUP(A130:A358,[1]Coefficients!$A$5:$R$232,5,FALSE)</f>
        <v>Assenedestraat</v>
      </c>
      <c r="F130" s="129">
        <f>VLOOKUP(A130:A358,[1]Coefficients!$A$5:$R$232,6,FALSE)</f>
        <v>2</v>
      </c>
      <c r="G130" s="129">
        <f>VLOOKUP(A130:A358,[1]Coefficients!$A$5:$R$232,7,FALSE)</f>
        <v>9940</v>
      </c>
      <c r="H130" s="128" t="str">
        <f>VLOOKUP(A130:A358,[1]Coefficients!$A$5:$R$232,8,FALSE)</f>
        <v>EVERGEM</v>
      </c>
      <c r="I130" s="128" t="s">
        <v>362</v>
      </c>
      <c r="J130" s="129" t="s">
        <v>361</v>
      </c>
      <c r="K130" s="128" t="s">
        <v>13</v>
      </c>
      <c r="L130" s="128" t="s">
        <v>6</v>
      </c>
      <c r="M130" s="128">
        <v>1</v>
      </c>
      <c r="N130" s="130">
        <v>0</v>
      </c>
      <c r="O130" s="128">
        <v>0</v>
      </c>
      <c r="P130" s="129" t="str">
        <f>VLOOKUP(A130:A357,[1]Coefficients!$A$5:$T$232,19,FALSE)</f>
        <v>22ZFL004740----5</v>
      </c>
      <c r="Q130" s="129"/>
      <c r="R130" s="95"/>
    </row>
    <row r="131" spans="1:18" s="94" customFormat="1" ht="20.25" customHeight="1" x14ac:dyDescent="0.2">
      <c r="A131" s="130" t="s">
        <v>392</v>
      </c>
      <c r="B131" s="131" t="s">
        <v>394</v>
      </c>
      <c r="C131" s="131" t="s">
        <v>393</v>
      </c>
      <c r="D131" s="131" t="s">
        <v>16</v>
      </c>
      <c r="E131" s="130" t="str">
        <f>VLOOKUP(A131:A359,[1]Coefficients!$A$5:$R$232,5,FALSE)</f>
        <v>Chaussée de Beaumont</v>
      </c>
      <c r="F131" s="131" t="str">
        <f>VLOOKUP(A131:A359,[1]Coefficients!$A$5:$R$232,6,FALSE)</f>
        <v>401 A</v>
      </c>
      <c r="G131" s="131">
        <f>VLOOKUP(A131:A359,[1]Coefficients!$A$5:$R$232,7,FALSE)</f>
        <v>7022</v>
      </c>
      <c r="H131" s="130" t="str">
        <f>VLOOKUP(A131:A359,[1]Coefficients!$A$5:$R$232,8,FALSE)</f>
        <v>HARMIGNIES</v>
      </c>
      <c r="I131" s="130" t="s">
        <v>392</v>
      </c>
      <c r="J131" s="131" t="s">
        <v>391</v>
      </c>
      <c r="K131" s="130" t="s">
        <v>13</v>
      </c>
      <c r="L131" s="130" t="s">
        <v>6</v>
      </c>
      <c r="M131" s="130">
        <v>1</v>
      </c>
      <c r="N131" s="130">
        <v>0</v>
      </c>
      <c r="O131" s="130">
        <v>0</v>
      </c>
      <c r="P131" s="131" t="str">
        <f>VLOOKUP(A131:A358,[1]Coefficients!$A$5:$T$232,19,FALSE)</f>
        <v>22ZFL18230-----Z</v>
      </c>
      <c r="Q131" s="131"/>
      <c r="R131" s="95"/>
    </row>
    <row r="132" spans="1:18" s="94" customFormat="1" ht="20.25" customHeight="1" x14ac:dyDescent="0.2">
      <c r="A132" s="128" t="s">
        <v>388</v>
      </c>
      <c r="B132" s="129" t="s">
        <v>390</v>
      </c>
      <c r="C132" s="129" t="s">
        <v>389</v>
      </c>
      <c r="D132" s="129" t="s">
        <v>16</v>
      </c>
      <c r="E132" s="128" t="str">
        <f>VLOOKUP(A132:A360,[1]Coefficients!$A$5:$R$232,5,FALSE)</f>
        <v>Rue Louis Maréchal</v>
      </c>
      <c r="F132" s="129">
        <f>VLOOKUP(A132:A360,[1]Coefficients!$A$5:$R$232,6,FALSE)</f>
        <v>1</v>
      </c>
      <c r="G132" s="129">
        <f>VLOOKUP(A132:A360,[1]Coefficients!$A$5:$R$232,7,FALSE)</f>
        <v>4360</v>
      </c>
      <c r="H132" s="128" t="str">
        <f>VLOOKUP(A132:A360,[1]Coefficients!$A$5:$R$232,8,FALSE)</f>
        <v>OREYE</v>
      </c>
      <c r="I132" s="128" t="s">
        <v>388</v>
      </c>
      <c r="J132" s="129" t="s">
        <v>387</v>
      </c>
      <c r="K132" s="128" t="s">
        <v>13</v>
      </c>
      <c r="L132" s="128" t="s">
        <v>6</v>
      </c>
      <c r="M132" s="128">
        <v>1</v>
      </c>
      <c r="N132" s="130">
        <v>0</v>
      </c>
      <c r="O132" s="128">
        <v>0</v>
      </c>
      <c r="P132" s="129" t="str">
        <f>VLOOKUP(A132:A359,[1]Coefficients!$A$5:$T$232,19,FALSE)</f>
        <v>22ZFL005852----6</v>
      </c>
      <c r="Q132" s="129"/>
      <c r="R132" s="95"/>
    </row>
    <row r="133" spans="1:18" s="94" customFormat="1" ht="20.25" customHeight="1" x14ac:dyDescent="0.2">
      <c r="A133" s="130" t="s">
        <v>1021</v>
      </c>
      <c r="B133" s="131" t="s">
        <v>239</v>
      </c>
      <c r="C133" s="131" t="s">
        <v>238</v>
      </c>
      <c r="D133" s="131" t="s">
        <v>16</v>
      </c>
      <c r="E133" s="130" t="str">
        <f>VLOOKUP(A133:A361,[1]Coefficients!$A$5:$R$232,5,FALSE)</f>
        <v>Stationsstraat</v>
      </c>
      <c r="F133" s="131">
        <f>VLOOKUP(A133:A361,[1]Coefficients!$A$5:$R$232,6,FALSE)</f>
        <v>123</v>
      </c>
      <c r="G133" s="131">
        <f>VLOOKUP(A133:A361,[1]Coefficients!$A$5:$R$232,7,FALSE)</f>
        <v>8400</v>
      </c>
      <c r="H133" s="130" t="str">
        <f>VLOOKUP(A133:A361,[1]Coefficients!$A$5:$R$232,8,FALSE)</f>
        <v>OOSTENDE</v>
      </c>
      <c r="I133" s="130" t="s">
        <v>1021</v>
      </c>
      <c r="J133" s="131" t="s">
        <v>237</v>
      </c>
      <c r="K133" s="130" t="s">
        <v>13</v>
      </c>
      <c r="L133" s="130" t="s">
        <v>6</v>
      </c>
      <c r="M133" s="130">
        <v>1</v>
      </c>
      <c r="N133" s="130">
        <v>0</v>
      </c>
      <c r="O133" s="130">
        <v>0</v>
      </c>
      <c r="P133" s="131" t="str">
        <f>VLOOKUP(A133:A360,[1]Coefficients!$A$5:$T$232,19,FALSE)</f>
        <v>22ZFL005019----J</v>
      </c>
      <c r="Q133" s="131"/>
      <c r="R133" s="95"/>
    </row>
    <row r="134" spans="1:18" s="94" customFormat="1" ht="20.25" customHeight="1" x14ac:dyDescent="0.2">
      <c r="A134" s="128" t="s">
        <v>384</v>
      </c>
      <c r="B134" s="129" t="s">
        <v>386</v>
      </c>
      <c r="C134" s="129" t="s">
        <v>385</v>
      </c>
      <c r="D134" s="129" t="s">
        <v>16</v>
      </c>
      <c r="E134" s="128" t="str">
        <f>VLOOKUP(A134:A362,[1]Coefficients!$A$5:$R$232,5,FALSE)</f>
        <v>Havenlaan</v>
      </c>
      <c r="F134" s="129">
        <f>VLOOKUP(A134:A362,[1]Coefficients!$A$5:$R$232,6,FALSE)</f>
        <v>6</v>
      </c>
      <c r="G134" s="129">
        <f>VLOOKUP(A134:A362,[1]Coefficients!$A$5:$R$232,7,FALSE)</f>
        <v>3980</v>
      </c>
      <c r="H134" s="128" t="str">
        <f>VLOOKUP(A134:A362,[1]Coefficients!$A$5:$R$232,8,FALSE)</f>
        <v>TESSENDERLO</v>
      </c>
      <c r="I134" s="128" t="s">
        <v>384</v>
      </c>
      <c r="J134" s="129" t="s">
        <v>383</v>
      </c>
      <c r="K134" s="128" t="s">
        <v>13</v>
      </c>
      <c r="L134" s="128" t="s">
        <v>19</v>
      </c>
      <c r="M134" s="128">
        <v>1</v>
      </c>
      <c r="N134" s="128">
        <v>1</v>
      </c>
      <c r="O134" s="128">
        <v>0</v>
      </c>
      <c r="P134" s="129" t="str">
        <f>VLOOKUP(A134:A361,[1]Coefficients!$A$5:$T$232,19,FALSE)</f>
        <v>22ZFL123410----S</v>
      </c>
      <c r="Q134" s="129"/>
      <c r="R134" s="95"/>
    </row>
    <row r="135" spans="1:18" s="94" customFormat="1" ht="20.25" customHeight="1" x14ac:dyDescent="0.2">
      <c r="A135" s="130" t="s">
        <v>380</v>
      </c>
      <c r="B135" s="131" t="s">
        <v>382</v>
      </c>
      <c r="C135" s="131" t="s">
        <v>381</v>
      </c>
      <c r="D135" s="131" t="s">
        <v>16</v>
      </c>
      <c r="E135" s="130" t="str">
        <f>VLOOKUP(A135:A363,[1]Coefficients!$A$5:$R$232,5,FALSE)</f>
        <v>Albertkade</v>
      </c>
      <c r="F135" s="131">
        <f>VLOOKUP(A135:A363,[1]Coefficients!$A$5:$R$232,6,FALSE)</f>
        <v>1</v>
      </c>
      <c r="G135" s="131">
        <f>VLOOKUP(A135:A363,[1]Coefficients!$A$5:$R$232,7,FALSE)</f>
        <v>3980</v>
      </c>
      <c r="H135" s="130" t="str">
        <f>VLOOKUP(A135:A363,[1]Coefficients!$A$5:$R$232,8,FALSE)</f>
        <v>TESSENDERLO</v>
      </c>
      <c r="I135" s="130" t="s">
        <v>380</v>
      </c>
      <c r="J135" s="131" t="s">
        <v>379</v>
      </c>
      <c r="K135" s="130" t="s">
        <v>13</v>
      </c>
      <c r="L135" s="130" t="s">
        <v>19</v>
      </c>
      <c r="M135" s="130">
        <v>1</v>
      </c>
      <c r="N135" s="128">
        <v>1</v>
      </c>
      <c r="O135" s="130">
        <v>0</v>
      </c>
      <c r="P135" s="131" t="str">
        <f>VLOOKUP(A135:A362,[1]Coefficients!$A$5:$T$232,19,FALSE)</f>
        <v>22ZFL004702----L</v>
      </c>
      <c r="Q135" s="131"/>
      <c r="R135" s="95"/>
    </row>
    <row r="136" spans="1:18" s="94" customFormat="1" ht="20.25" customHeight="1" x14ac:dyDescent="0.2">
      <c r="A136" s="128" t="s">
        <v>378</v>
      </c>
      <c r="B136" s="129" t="s">
        <v>377</v>
      </c>
      <c r="C136" s="129" t="s">
        <v>376</v>
      </c>
      <c r="D136" s="129" t="s">
        <v>92</v>
      </c>
      <c r="E136" s="128" t="str">
        <f>VLOOKUP(A136:A364,[1]Coefficients!$A$5:$R$232,5,FALSE)</f>
        <v>Pleitstraat</v>
      </c>
      <c r="F136" s="129">
        <f>VLOOKUP(A136:A364,[1]Coefficients!$A$5:$R$232,6,FALSE)</f>
        <v>1</v>
      </c>
      <c r="G136" s="129">
        <f>VLOOKUP(A136:A364,[1]Coefficients!$A$5:$R$232,7,FALSE)</f>
        <v>9042</v>
      </c>
      <c r="H136" s="128" t="str">
        <f>VLOOKUP(A136:A364,[1]Coefficients!$A$5:$R$232,8,FALSE)</f>
        <v>GENT</v>
      </c>
      <c r="I136" s="128" t="s">
        <v>375</v>
      </c>
      <c r="J136" s="129" t="s">
        <v>374</v>
      </c>
      <c r="K136" s="128" t="s">
        <v>13</v>
      </c>
      <c r="L136" s="128" t="s">
        <v>6</v>
      </c>
      <c r="M136" s="128">
        <v>1</v>
      </c>
      <c r="N136" s="130">
        <v>0</v>
      </c>
      <c r="O136" s="128">
        <v>0</v>
      </c>
      <c r="P136" s="129" t="str">
        <f>VLOOKUP(A136:A363,[1]Coefficients!$A$5:$T$232,19,FALSE)</f>
        <v>22ZFL005927----Q</v>
      </c>
      <c r="Q136" s="129"/>
      <c r="R136" s="95"/>
    </row>
    <row r="137" spans="1:18" s="94" customFormat="1" ht="20.25" customHeight="1" x14ac:dyDescent="0.2">
      <c r="A137" s="130" t="s">
        <v>371</v>
      </c>
      <c r="B137" s="131" t="s">
        <v>373</v>
      </c>
      <c r="C137" s="131" t="s">
        <v>372</v>
      </c>
      <c r="D137" s="131" t="s">
        <v>92</v>
      </c>
      <c r="E137" s="130" t="str">
        <f>VLOOKUP(A137:A365,[1]Coefficients!$A$5:$R$232,5,FALSE)</f>
        <v>Prins Albertlaan (Zuidkaai)</v>
      </c>
      <c r="F137" s="131">
        <f>VLOOKUP(A137:A365,[1]Coefficients!$A$5:$R$232,6,FALSE)</f>
        <v>12</v>
      </c>
      <c r="G137" s="131">
        <f>VLOOKUP(A137:A365,[1]Coefficients!$A$5:$R$232,7,FALSE)</f>
        <v>8870</v>
      </c>
      <c r="H137" s="130" t="str">
        <f>VLOOKUP(A137:A365,[1]Coefficients!$A$5:$R$232,8,FALSE)</f>
        <v>IZEGEM</v>
      </c>
      <c r="I137" s="130" t="s">
        <v>371</v>
      </c>
      <c r="J137" s="131" t="s">
        <v>370</v>
      </c>
      <c r="K137" s="130" t="s">
        <v>7</v>
      </c>
      <c r="L137" s="130" t="s">
        <v>6</v>
      </c>
      <c r="M137" s="130">
        <v>1</v>
      </c>
      <c r="N137" s="130">
        <v>0</v>
      </c>
      <c r="O137" s="130">
        <v>0</v>
      </c>
      <c r="P137" s="131" t="str">
        <f>VLOOKUP(A137:A364,[1]Coefficients!$A$5:$T$232,19,FALSE)</f>
        <v>22ZFL005896----S</v>
      </c>
      <c r="Q137" s="131"/>
      <c r="R137" s="95"/>
    </row>
    <row r="138" spans="1:18" s="94" customFormat="1" ht="20.25" customHeight="1" x14ac:dyDescent="0.2">
      <c r="A138" s="128" t="s">
        <v>367</v>
      </c>
      <c r="B138" s="129" t="s">
        <v>369</v>
      </c>
      <c r="C138" s="129" t="s">
        <v>368</v>
      </c>
      <c r="D138" s="129" t="s">
        <v>92</v>
      </c>
      <c r="E138" s="128" t="str">
        <f>VLOOKUP(A138:A366,[1]Coefficients!$A$5:$R$232,5,FALSE)</f>
        <v>Scheldelaan (Haven 663)</v>
      </c>
      <c r="F138" s="129">
        <f>VLOOKUP(A138:A366,[1]Coefficients!$A$5:$R$232,6,FALSE)</f>
        <v>490</v>
      </c>
      <c r="G138" s="129">
        <f>VLOOKUP(A138:A366,[1]Coefficients!$A$5:$R$232,7,FALSE)</f>
        <v>2040</v>
      </c>
      <c r="H138" s="128" t="str">
        <f>VLOOKUP(A138:A366,[1]Coefficients!$A$5:$R$232,8,FALSE)</f>
        <v>ANTWERPEN</v>
      </c>
      <c r="I138" s="128" t="s">
        <v>367</v>
      </c>
      <c r="J138" s="129" t="s">
        <v>366</v>
      </c>
      <c r="K138" s="128" t="s">
        <v>7</v>
      </c>
      <c r="L138" s="128" t="s">
        <v>6</v>
      </c>
      <c r="M138" s="128">
        <v>1</v>
      </c>
      <c r="N138" s="130">
        <v>0</v>
      </c>
      <c r="O138" s="128">
        <v>0</v>
      </c>
      <c r="P138" s="129" t="str">
        <f>VLOOKUP(A138:A365,[1]Coefficients!$A$5:$T$232,19,FALSE)</f>
        <v>22ZFL005938----D</v>
      </c>
      <c r="Q138" s="129"/>
      <c r="R138" s="95"/>
    </row>
    <row r="139" spans="1:18" s="94" customFormat="1" ht="20.25" customHeight="1" x14ac:dyDescent="0.2">
      <c r="A139" s="130" t="s">
        <v>365</v>
      </c>
      <c r="B139" s="131" t="s">
        <v>364</v>
      </c>
      <c r="C139" s="131" t="s">
        <v>363</v>
      </c>
      <c r="D139" s="131" t="s">
        <v>92</v>
      </c>
      <c r="E139" s="130" t="str">
        <f>VLOOKUP(A139:A367,[1]Coefficients!$A$5:$R$232,5,FALSE)</f>
        <v>Assenedestraat</v>
      </c>
      <c r="F139" s="131">
        <f>VLOOKUP(A139:A367,[1]Coefficients!$A$5:$R$232,6,FALSE)</f>
        <v>2</v>
      </c>
      <c r="G139" s="131">
        <f>VLOOKUP(A139:A367,[1]Coefficients!$A$5:$R$232,7,FALSE)</f>
        <v>9940</v>
      </c>
      <c r="H139" s="130" t="str">
        <f>VLOOKUP(A139:A367,[1]Coefficients!$A$5:$R$232,8,FALSE)</f>
        <v>EVERGEM</v>
      </c>
      <c r="I139" s="130" t="s">
        <v>362</v>
      </c>
      <c r="J139" s="131" t="s">
        <v>361</v>
      </c>
      <c r="K139" s="130" t="s">
        <v>13</v>
      </c>
      <c r="L139" s="130" t="s">
        <v>6</v>
      </c>
      <c r="M139" s="130">
        <v>1</v>
      </c>
      <c r="N139" s="130">
        <v>0</v>
      </c>
      <c r="O139" s="130">
        <v>0</v>
      </c>
      <c r="P139" s="131" t="str">
        <f>VLOOKUP(A139:A366,[1]Coefficients!$A$5:$T$232,19,FALSE)</f>
        <v>22ZFL004740----5</v>
      </c>
      <c r="Q139" s="131"/>
      <c r="R139" s="95"/>
    </row>
    <row r="140" spans="1:18" s="94" customFormat="1" ht="20.25" customHeight="1" x14ac:dyDescent="0.2">
      <c r="A140" s="128" t="s">
        <v>360</v>
      </c>
      <c r="B140" s="129" t="s">
        <v>359</v>
      </c>
      <c r="C140" s="129" t="s">
        <v>358</v>
      </c>
      <c r="D140" s="129" t="s">
        <v>92</v>
      </c>
      <c r="E140" s="128" t="str">
        <f>VLOOKUP(A140:A368,[1]Coefficients!$A$5:$R$232,5,FALSE)</f>
        <v>Erembodegemstraat</v>
      </c>
      <c r="F140" s="129">
        <f>VLOOKUP(A140:A368,[1]Coefficients!$A$5:$R$232,6,FALSE)</f>
        <v>4</v>
      </c>
      <c r="G140" s="129">
        <f>VLOOKUP(A140:A368,[1]Coefficients!$A$5:$R$232,7,FALSE)</f>
        <v>9300</v>
      </c>
      <c r="H140" s="128" t="str">
        <f>VLOOKUP(A140:A368,[1]Coefficients!$A$5:$R$232,8,FALSE)</f>
        <v>AALST (WKK TATE EN LYLE)</v>
      </c>
      <c r="I140" s="128" t="s">
        <v>120</v>
      </c>
      <c r="J140" s="129" t="s">
        <v>119</v>
      </c>
      <c r="K140" s="128" t="s">
        <v>7</v>
      </c>
      <c r="L140" s="128" t="s">
        <v>6</v>
      </c>
      <c r="M140" s="128">
        <v>1</v>
      </c>
      <c r="N140" s="130">
        <v>0</v>
      </c>
      <c r="O140" s="128">
        <v>0</v>
      </c>
      <c r="P140" s="129" t="str">
        <f>VLOOKUP(A140:A367,[1]Coefficients!$A$5:$T$232,19,FALSE)</f>
        <v>22ZFL004818----7</v>
      </c>
      <c r="Q140" s="129"/>
      <c r="R140" s="95"/>
    </row>
    <row r="141" spans="1:18" s="94" customFormat="1" ht="20.25" customHeight="1" x14ac:dyDescent="0.2">
      <c r="A141" s="130" t="s">
        <v>357</v>
      </c>
      <c r="B141" s="131" t="s">
        <v>356</v>
      </c>
      <c r="C141" s="131" t="s">
        <v>355</v>
      </c>
      <c r="D141" s="131" t="s">
        <v>10</v>
      </c>
      <c r="E141" s="130" t="str">
        <f>VLOOKUP(A141:A369,[1]Coefficients!$A$5:$R$232,5,FALSE)</f>
        <v>De Bruyckerweg</v>
      </c>
      <c r="F141" s="131">
        <f>VLOOKUP(A141:A369,[1]Coefficients!$A$5:$R$232,6,FALSE)</f>
        <v>1</v>
      </c>
      <c r="G141" s="131">
        <f>VLOOKUP(A141:A369,[1]Coefficients!$A$5:$R$232,7,FALSE)</f>
        <v>1620</v>
      </c>
      <c r="H141" s="130" t="str">
        <f>VLOOKUP(A141:A369,[1]Coefficients!$A$5:$R$232,8,FALSE)</f>
        <v>DROGENBOS</v>
      </c>
      <c r="I141" s="130" t="s">
        <v>354</v>
      </c>
      <c r="J141" s="131" t="s">
        <v>353</v>
      </c>
      <c r="K141" s="130" t="s">
        <v>7</v>
      </c>
      <c r="L141" s="130" t="s">
        <v>6</v>
      </c>
      <c r="M141" s="130">
        <v>1</v>
      </c>
      <c r="N141" s="130">
        <v>0</v>
      </c>
      <c r="O141" s="130">
        <v>0</v>
      </c>
      <c r="P141" s="131" t="str">
        <f>VLOOKUP(A141:A368,[1]Coefficients!$A$5:$T$232,19,FALSE)</f>
        <v>22ZFL004817----D</v>
      </c>
      <c r="Q141" s="131"/>
      <c r="R141" s="95"/>
    </row>
    <row r="142" spans="1:18" s="94" customFormat="1" ht="20.25" customHeight="1" x14ac:dyDescent="0.2">
      <c r="A142" s="128" t="s">
        <v>350</v>
      </c>
      <c r="B142" s="129" t="s">
        <v>352</v>
      </c>
      <c r="C142" s="129" t="s">
        <v>351</v>
      </c>
      <c r="D142" s="129" t="s">
        <v>10</v>
      </c>
      <c r="E142" s="128" t="str">
        <f>VLOOKUP(A142:A370,[1]Coefficients!$A$5:$R$232,5,FALSE)</f>
        <v>Rodenhuizekaai</v>
      </c>
      <c r="F142" s="129">
        <f>VLOOKUP(A142:A370,[1]Coefficients!$A$5:$R$232,6,FALSE)</f>
        <v>3</v>
      </c>
      <c r="G142" s="129">
        <f>VLOOKUP(A142:A370,[1]Coefficients!$A$5:$R$232,7,FALSE)</f>
        <v>9042</v>
      </c>
      <c r="H142" s="128" t="str">
        <f>VLOOKUP(A142:A370,[1]Coefficients!$A$5:$R$232,8,FALSE)</f>
        <v>DESTELDONK</v>
      </c>
      <c r="I142" s="128" t="s">
        <v>350</v>
      </c>
      <c r="J142" s="129" t="s">
        <v>349</v>
      </c>
      <c r="K142" s="128" t="s">
        <v>7</v>
      </c>
      <c r="L142" s="128" t="s">
        <v>6</v>
      </c>
      <c r="M142" s="128">
        <v>1</v>
      </c>
      <c r="N142" s="130">
        <v>0</v>
      </c>
      <c r="O142" s="128">
        <v>0</v>
      </c>
      <c r="P142" s="129" t="str">
        <f>VLOOKUP(A142:A369,[1]Coefficients!$A$5:$T$232,19,FALSE)</f>
        <v>22ZFL005933----6</v>
      </c>
      <c r="Q142" s="129"/>
      <c r="R142" s="95"/>
    </row>
    <row r="143" spans="1:18" s="94" customFormat="1" ht="20.25" customHeight="1" x14ac:dyDescent="0.2">
      <c r="A143" s="130" t="s">
        <v>257</v>
      </c>
      <c r="B143" s="131" t="s">
        <v>348</v>
      </c>
      <c r="C143" s="131" t="s">
        <v>347</v>
      </c>
      <c r="D143" s="131" t="s">
        <v>10</v>
      </c>
      <c r="E143" s="130" t="str">
        <f>VLOOKUP(A143:A371,[1]Coefficients!$A$5:$R$232,5,FALSE)</f>
        <v>Rue de Fechereux</v>
      </c>
      <c r="F143" s="131">
        <f>VLOOKUP(A143:A371,[1]Coefficients!$A$5:$R$232,6,FALSE)</f>
        <v>43</v>
      </c>
      <c r="G143" s="131">
        <f>VLOOKUP(A143:A371,[1]Coefficients!$A$5:$R$232,7,FALSE)</f>
        <v>4031</v>
      </c>
      <c r="H143" s="130" t="str">
        <f>VLOOKUP(A143:A371,[1]Coefficients!$A$5:$R$232,8,FALSE)</f>
        <v>ANGLEUR</v>
      </c>
      <c r="I143" s="130" t="s">
        <v>257</v>
      </c>
      <c r="J143" s="131" t="s">
        <v>256</v>
      </c>
      <c r="K143" s="130" t="s">
        <v>7</v>
      </c>
      <c r="L143" s="130" t="s">
        <v>6</v>
      </c>
      <c r="M143" s="130">
        <v>1</v>
      </c>
      <c r="N143" s="130">
        <v>0</v>
      </c>
      <c r="O143" s="130">
        <v>0</v>
      </c>
      <c r="P143" s="131" t="str">
        <f>VLOOKUP(A143:A370,[1]Coefficients!$A$5:$T$232,19,FALSE)</f>
        <v>22ZFL004827----6</v>
      </c>
      <c r="Q143" s="131"/>
      <c r="R143" s="95"/>
    </row>
    <row r="144" spans="1:18" s="94" customFormat="1" ht="20.25" customHeight="1" x14ac:dyDescent="0.2">
      <c r="A144" s="128" t="s">
        <v>343</v>
      </c>
      <c r="B144" s="129" t="s">
        <v>346</v>
      </c>
      <c r="C144" s="129" t="s">
        <v>345</v>
      </c>
      <c r="D144" s="129" t="s">
        <v>10</v>
      </c>
      <c r="E144" s="128" t="str">
        <f>VLOOKUP(A144:A372,[1]Coefficients!$A$5:$R$232,5,FALSE)</f>
        <v>Ham</v>
      </c>
      <c r="F144" s="129">
        <f>VLOOKUP(A144:A372,[1]Coefficients!$A$5:$R$232,6,FALSE)</f>
        <v>68</v>
      </c>
      <c r="G144" s="129">
        <f>VLOOKUP(A144:A372,[1]Coefficients!$A$5:$R$232,7,FALSE)</f>
        <v>9000</v>
      </c>
      <c r="H144" s="128" t="str">
        <f>VLOOKUP(A144:A372,[1]Coefficients!$A$5:$R$232,8,FALSE)</f>
        <v>GENT</v>
      </c>
      <c r="I144" s="128" t="s">
        <v>343</v>
      </c>
      <c r="J144" s="129" t="s">
        <v>342</v>
      </c>
      <c r="K144" s="128" t="s">
        <v>7</v>
      </c>
      <c r="L144" s="128" t="s">
        <v>6</v>
      </c>
      <c r="M144" s="128">
        <v>1</v>
      </c>
      <c r="N144" s="130">
        <v>0</v>
      </c>
      <c r="O144" s="128">
        <v>1</v>
      </c>
      <c r="P144" s="129" t="str">
        <f>VLOOKUP(A144:A371,[1]Coefficients!$A$5:$T$232,19,FALSE)</f>
        <v>22ZFL004820----B</v>
      </c>
      <c r="Q144" s="129"/>
      <c r="R144" s="95"/>
    </row>
    <row r="145" spans="1:18" s="94" customFormat="1" ht="20.25" customHeight="1" x14ac:dyDescent="0.2">
      <c r="A145" s="130" t="s">
        <v>1071</v>
      </c>
      <c r="B145" s="131" t="s">
        <v>1042</v>
      </c>
      <c r="C145" s="131" t="s">
        <v>345</v>
      </c>
      <c r="D145" s="131" t="s">
        <v>10</v>
      </c>
      <c r="E145" s="130" t="s">
        <v>344</v>
      </c>
      <c r="F145" s="131">
        <v>68</v>
      </c>
      <c r="G145" s="131">
        <v>9000</v>
      </c>
      <c r="H145" s="130" t="s">
        <v>34</v>
      </c>
      <c r="I145" s="130" t="s">
        <v>343</v>
      </c>
      <c r="J145" s="131" t="s">
        <v>342</v>
      </c>
      <c r="K145" s="130" t="s">
        <v>7</v>
      </c>
      <c r="L145" s="130" t="s">
        <v>6</v>
      </c>
      <c r="M145" s="130">
        <v>1</v>
      </c>
      <c r="N145" s="130">
        <v>0</v>
      </c>
      <c r="O145" s="130">
        <v>1</v>
      </c>
      <c r="P145" s="131" t="s">
        <v>341</v>
      </c>
      <c r="Q145" s="131"/>
      <c r="R145" s="95"/>
    </row>
    <row r="146" spans="1:18" s="94" customFormat="1" ht="20.25" customHeight="1" x14ac:dyDescent="0.2">
      <c r="A146" s="128" t="s">
        <v>338</v>
      </c>
      <c r="B146" s="129" t="s">
        <v>340</v>
      </c>
      <c r="C146" s="129" t="s">
        <v>339</v>
      </c>
      <c r="D146" s="129" t="s">
        <v>10</v>
      </c>
      <c r="E146" s="128" t="str">
        <f>VLOOKUP(A146:A373,[1]Coefficients!$A$5:$R$232,5,FALSE)</f>
        <v>Rue du pont du Val</v>
      </c>
      <c r="F146" s="129" t="str">
        <f>VLOOKUP(A146:A373,[1]Coefficients!$A$5:$R$232,6,FALSE)</f>
        <v>1B</v>
      </c>
      <c r="G146" s="129">
        <f>VLOOKUP(A146:A373,[1]Coefficients!$A$5:$R$232,7,FALSE)</f>
        <v>4100</v>
      </c>
      <c r="H146" s="128" t="str">
        <f>VLOOKUP(A146:A373,[1]Coefficients!$A$5:$R$232,8,FALSE)</f>
        <v>SERAING</v>
      </c>
      <c r="I146" s="128" t="s">
        <v>338</v>
      </c>
      <c r="J146" s="129" t="s">
        <v>337</v>
      </c>
      <c r="K146" s="128" t="s">
        <v>7</v>
      </c>
      <c r="L146" s="128" t="s">
        <v>6</v>
      </c>
      <c r="M146" s="128">
        <v>1</v>
      </c>
      <c r="N146" s="130">
        <v>0</v>
      </c>
      <c r="O146" s="128">
        <v>0</v>
      </c>
      <c r="P146" s="129" t="str">
        <f>VLOOKUP(A146:A373,[1]Coefficients!$A$5:$T$232,19,FALSE)</f>
        <v>22ZFL004829----V</v>
      </c>
      <c r="Q146" s="129"/>
      <c r="R146" s="95"/>
    </row>
    <row r="147" spans="1:18" s="94" customFormat="1" ht="20.25" customHeight="1" x14ac:dyDescent="0.2">
      <c r="A147" s="130" t="s">
        <v>334</v>
      </c>
      <c r="B147" s="131" t="s">
        <v>336</v>
      </c>
      <c r="C147" s="131" t="s">
        <v>335</v>
      </c>
      <c r="D147" s="131" t="s">
        <v>10</v>
      </c>
      <c r="E147" s="130" t="str">
        <f>VLOOKUP(A147:A374,[1]Coefficients!$A$5:$R$232,5,FALSE)</f>
        <v>Buitenring Wondelgem</v>
      </c>
      <c r="F147" s="131">
        <f>VLOOKUP(A147:A374,[1]Coefficients!$A$5:$R$232,6,FALSE)</f>
        <v>10</v>
      </c>
      <c r="G147" s="131">
        <f>VLOOKUP(A147:A374,[1]Coefficients!$A$5:$R$232,7,FALSE)</f>
        <v>9000</v>
      </c>
      <c r="H147" s="130" t="str">
        <f>VLOOKUP(A147:A374,[1]Coefficients!$A$5:$R$232,8,FALSE)</f>
        <v>GENT</v>
      </c>
      <c r="I147" s="130" t="s">
        <v>334</v>
      </c>
      <c r="J147" s="131" t="s">
        <v>333</v>
      </c>
      <c r="K147" s="130" t="s">
        <v>7</v>
      </c>
      <c r="L147" s="130" t="s">
        <v>6</v>
      </c>
      <c r="M147" s="130">
        <v>1</v>
      </c>
      <c r="N147" s="130">
        <v>0</v>
      </c>
      <c r="O147" s="130">
        <v>0</v>
      </c>
      <c r="P147" s="131" t="str">
        <f>VLOOKUP(A147:A374,[1]Coefficients!$A$5:$T$232,19,FALSE)</f>
        <v>22ZFL004819----1</v>
      </c>
      <c r="Q147" s="131"/>
      <c r="R147" s="95"/>
    </row>
    <row r="148" spans="1:18" s="94" customFormat="1" ht="20.25" customHeight="1" x14ac:dyDescent="0.2">
      <c r="A148" s="128" t="s">
        <v>1043</v>
      </c>
      <c r="B148" s="129" t="s">
        <v>332</v>
      </c>
      <c r="C148" s="129" t="s">
        <v>331</v>
      </c>
      <c r="D148" s="129" t="s">
        <v>10</v>
      </c>
      <c r="E148" s="128" t="str">
        <f>VLOOKUP(A148:A375,[1]Coefficients!$A$5:$R$232,5,FALSE)</f>
        <v>Jan Frans Willemstraat</v>
      </c>
      <c r="F148" s="129">
        <f>VLOOKUP(A148:A375,[1]Coefficients!$A$5:$R$232,6,FALSE)</f>
        <v>200</v>
      </c>
      <c r="G148" s="129">
        <f>VLOOKUP(A148:A375,[1]Coefficients!$A$5:$R$232,7,FALSE)</f>
        <v>1800</v>
      </c>
      <c r="H148" s="128" t="str">
        <f>VLOOKUP(A148:A375,[1]Coefficients!$A$5:$R$232,8,FALSE)</f>
        <v>VILVOORDE</v>
      </c>
      <c r="I148" s="128" t="s">
        <v>330</v>
      </c>
      <c r="J148" s="129" t="s">
        <v>329</v>
      </c>
      <c r="K148" s="128" t="s">
        <v>7</v>
      </c>
      <c r="L148" s="128" t="s">
        <v>6</v>
      </c>
      <c r="M148" s="128">
        <v>1</v>
      </c>
      <c r="N148" s="130">
        <v>0</v>
      </c>
      <c r="O148" s="128">
        <v>0</v>
      </c>
      <c r="P148" s="129" t="str">
        <f>VLOOKUP(A148:A375,[1]Coefficients!$A$5:$T$232,19,FALSE)</f>
        <v>22ZFL004980----Z</v>
      </c>
      <c r="Q148" s="129"/>
      <c r="R148" s="95"/>
    </row>
    <row r="149" spans="1:18" s="94" customFormat="1" ht="20.25" customHeight="1" x14ac:dyDescent="0.2">
      <c r="A149" s="130" t="s">
        <v>326</v>
      </c>
      <c r="B149" s="131" t="s">
        <v>328</v>
      </c>
      <c r="C149" s="131" t="s">
        <v>327</v>
      </c>
      <c r="D149" s="131" t="s">
        <v>10</v>
      </c>
      <c r="E149" s="130" t="str">
        <f>VLOOKUP(A149:A376,[1]Coefficients!$A$5:$R$232,5,FALSE)</f>
        <v>Pathoekeweg</v>
      </c>
      <c r="F149" s="131">
        <f>VLOOKUP(A149:A376,[1]Coefficients!$A$5:$R$232,6,FALSE)</f>
        <v>300</v>
      </c>
      <c r="G149" s="131">
        <f>VLOOKUP(A149:A376,[1]Coefficients!$A$5:$R$232,7,FALSE)</f>
        <v>8000</v>
      </c>
      <c r="H149" s="130" t="str">
        <f>VLOOKUP(A149:A376,[1]Coefficients!$A$5:$R$232,8,FALSE)</f>
        <v>BRUGGE</v>
      </c>
      <c r="I149" s="130" t="s">
        <v>326</v>
      </c>
      <c r="J149" s="131" t="s">
        <v>325</v>
      </c>
      <c r="K149" s="130" t="s">
        <v>7</v>
      </c>
      <c r="L149" s="130" t="s">
        <v>6</v>
      </c>
      <c r="M149" s="130">
        <v>1</v>
      </c>
      <c r="N149" s="130">
        <v>0</v>
      </c>
      <c r="O149" s="130">
        <v>0</v>
      </c>
      <c r="P149" s="131" t="str">
        <f>VLOOKUP(A149:A376,[1]Coefficients!$A$5:$T$232,19,FALSE)</f>
        <v>22ZFL004809----8</v>
      </c>
      <c r="Q149" s="131"/>
      <c r="R149" s="95"/>
    </row>
    <row r="150" spans="1:18" s="94" customFormat="1" ht="20.25" customHeight="1" x14ac:dyDescent="0.2">
      <c r="A150" s="128" t="s">
        <v>322</v>
      </c>
      <c r="B150" s="129" t="s">
        <v>324</v>
      </c>
      <c r="C150" s="129" t="s">
        <v>323</v>
      </c>
      <c r="D150" s="129" t="s">
        <v>10</v>
      </c>
      <c r="E150" s="128" t="str">
        <f>VLOOKUP(A150:A377,[1]Coefficients!$A$5:$R$232,5,FALSE)</f>
        <v>Quai du Halage</v>
      </c>
      <c r="F150" s="129">
        <f>VLOOKUP(A150:A377,[1]Coefficients!$A$5:$R$232,6,FALSE)</f>
        <v>49</v>
      </c>
      <c r="G150" s="129">
        <f>VLOOKUP(A150:A377,[1]Coefficients!$A$5:$R$232,7,FALSE)</f>
        <v>4400</v>
      </c>
      <c r="H150" s="128" t="str">
        <f>VLOOKUP(A150:A377,[1]Coefficients!$A$5:$R$232,8,FALSE)</f>
        <v>FLEMALLE</v>
      </c>
      <c r="I150" s="128" t="s">
        <v>322</v>
      </c>
      <c r="J150" s="129" t="s">
        <v>321</v>
      </c>
      <c r="K150" s="128" t="s">
        <v>7</v>
      </c>
      <c r="L150" s="128" t="s">
        <v>6</v>
      </c>
      <c r="M150" s="128">
        <v>1</v>
      </c>
      <c r="N150" s="130">
        <v>0</v>
      </c>
      <c r="O150" s="128">
        <v>0</v>
      </c>
      <c r="P150" s="129" t="str">
        <f>VLOOKUP(A150:A377,[1]Coefficients!$A$5:$T$232,19,FALSE)</f>
        <v>22ZFL004828----0</v>
      </c>
      <c r="Q150" s="129"/>
      <c r="R150" s="95"/>
    </row>
    <row r="151" spans="1:18" s="94" customFormat="1" ht="20.25" customHeight="1" x14ac:dyDescent="0.2">
      <c r="A151" s="130" t="s">
        <v>318</v>
      </c>
      <c r="B151" s="131" t="s">
        <v>320</v>
      </c>
      <c r="C151" s="131" t="s">
        <v>319</v>
      </c>
      <c r="D151" s="131" t="s">
        <v>10</v>
      </c>
      <c r="E151" s="130" t="str">
        <f>VLOOKUP(A151:A378,[1]Coefficients!$A$5:$R$232,5,FALSE)</f>
        <v>Rue De La Providence</v>
      </c>
      <c r="F151" s="131">
        <f>VLOOKUP(A151:A378,[1]Coefficients!$A$5:$R$232,6,FALSE)</f>
        <v>150</v>
      </c>
      <c r="G151" s="131">
        <f>VLOOKUP(A151:A378,[1]Coefficients!$A$5:$R$232,7,FALSE)</f>
        <v>6030</v>
      </c>
      <c r="H151" s="130" t="str">
        <f>VLOOKUP(A151:A378,[1]Coefficients!$A$5:$R$232,8,FALSE)</f>
        <v>CHARLEROI</v>
      </c>
      <c r="I151" s="130" t="s">
        <v>318</v>
      </c>
      <c r="J151" s="131" t="s">
        <v>317</v>
      </c>
      <c r="K151" s="130" t="s">
        <v>7</v>
      </c>
      <c r="L151" s="130" t="s">
        <v>6</v>
      </c>
      <c r="M151" s="130">
        <v>1</v>
      </c>
      <c r="N151" s="130">
        <v>0</v>
      </c>
      <c r="O151" s="130">
        <v>0</v>
      </c>
      <c r="P151" s="131" t="str">
        <f>VLOOKUP(A151:A378,[1]Coefficients!$A$5:$T$232,19,FALSE)</f>
        <v>22ZFL005934----0</v>
      </c>
      <c r="Q151" s="131"/>
      <c r="R151" s="95"/>
    </row>
    <row r="152" spans="1:18" s="94" customFormat="1" ht="20.25" customHeight="1" x14ac:dyDescent="0.2">
      <c r="A152" s="128" t="s">
        <v>314</v>
      </c>
      <c r="B152" s="129" t="s">
        <v>316</v>
      </c>
      <c r="C152" s="129" t="s">
        <v>315</v>
      </c>
      <c r="D152" s="129" t="s">
        <v>10</v>
      </c>
      <c r="E152" s="128" t="str">
        <f>VLOOKUP(A152:A379,[1]Coefficients!$A$5:$R$232,5,FALSE)</f>
        <v>rue d'Hautrage</v>
      </c>
      <c r="F152" s="129">
        <f>VLOOKUP(A152:A379,[1]Coefficients!$A$5:$R$232,6,FALSE)</f>
        <v>87</v>
      </c>
      <c r="G152" s="129">
        <f>VLOOKUP(A152:A379,[1]Coefficients!$A$5:$R$232,7,FALSE)</f>
        <v>7331</v>
      </c>
      <c r="H152" s="128" t="str">
        <f>VLOOKUP(A152:A379,[1]Coefficients!$A$5:$R$232,8,FALSE)</f>
        <v>BAUDOUR</v>
      </c>
      <c r="I152" s="128" t="s">
        <v>314</v>
      </c>
      <c r="J152" s="129" t="s">
        <v>313</v>
      </c>
      <c r="K152" s="128" t="s">
        <v>7</v>
      </c>
      <c r="L152" s="128" t="s">
        <v>6</v>
      </c>
      <c r="M152" s="128">
        <v>1</v>
      </c>
      <c r="N152" s="130">
        <v>0</v>
      </c>
      <c r="O152" s="128">
        <v>0</v>
      </c>
      <c r="P152" s="129" t="str">
        <f>VLOOKUP(A152:A379,[1]Coefficients!$A$5:$T$232,19,FALSE)</f>
        <v>22ZFL-757510---U</v>
      </c>
      <c r="Q152" s="129"/>
      <c r="R152" s="95"/>
    </row>
    <row r="153" spans="1:18" s="94" customFormat="1" ht="20.25" customHeight="1" x14ac:dyDescent="0.2">
      <c r="A153" s="130" t="s">
        <v>312</v>
      </c>
      <c r="B153" s="131" t="s">
        <v>311</v>
      </c>
      <c r="C153" s="131" t="s">
        <v>310</v>
      </c>
      <c r="D153" s="131" t="s">
        <v>10</v>
      </c>
      <c r="E153" s="130" t="str">
        <f>VLOOKUP(A153:A380,[1]Coefficients!$A$5:$R$232,5,FALSE)</f>
        <v>rue Chauw à Roc</v>
      </c>
      <c r="F153" s="131">
        <f>VLOOKUP(A153:A380,[1]Coefficients!$A$5:$R$232,6,FALSE)</f>
        <v>6</v>
      </c>
      <c r="G153" s="131">
        <f>VLOOKUP(A153:A380,[1]Coefficients!$A$5:$R$232,7,FALSE)</f>
        <v>6044</v>
      </c>
      <c r="H153" s="130" t="str">
        <f>VLOOKUP(A153:A380,[1]Coefficients!$A$5:$R$232,8,FALSE)</f>
        <v>ROUX</v>
      </c>
      <c r="I153" s="130" t="s">
        <v>309</v>
      </c>
      <c r="J153" s="131" t="s">
        <v>308</v>
      </c>
      <c r="K153" s="130" t="s">
        <v>7</v>
      </c>
      <c r="L153" s="130" t="s">
        <v>6</v>
      </c>
      <c r="M153" s="130">
        <v>1</v>
      </c>
      <c r="N153" s="128">
        <v>1</v>
      </c>
      <c r="O153" s="130">
        <v>0</v>
      </c>
      <c r="P153" s="131" t="str">
        <f>VLOOKUP(A153:A380,[1]Coefficients!$A$5:$T$232,19,FALSE)</f>
        <v>22ZFL007139----G</v>
      </c>
      <c r="Q153" s="131"/>
      <c r="R153" s="95"/>
    </row>
    <row r="154" spans="1:18" s="94" customFormat="1" ht="20.25" customHeight="1" x14ac:dyDescent="0.2">
      <c r="A154" s="128" t="s">
        <v>1044</v>
      </c>
      <c r="B154" s="129" t="s">
        <v>307</v>
      </c>
      <c r="C154" s="129" t="s">
        <v>306</v>
      </c>
      <c r="D154" s="129" t="s">
        <v>92</v>
      </c>
      <c r="E154" s="128" t="str">
        <f>VLOOKUP(A154:A381,[1]Coefficients!$A$5:$R$232,5,FALSE)</f>
        <v>Scheldelaan</v>
      </c>
      <c r="F154" s="129">
        <f>VLOOKUP(A154:A381,[1]Coefficients!$A$5:$R$232,6,FALSE)</f>
        <v>420</v>
      </c>
      <c r="G154" s="129">
        <f>VLOOKUP(A154:A381,[1]Coefficients!$A$5:$R$232,7,FALSE)</f>
        <v>2040</v>
      </c>
      <c r="H154" s="128" t="str">
        <f>VLOOKUP(A154:A381,[1]Coefficients!$A$5:$R$232,8,FALSE)</f>
        <v>ANTWERPEN</v>
      </c>
      <c r="I154" s="128" t="s">
        <v>1039</v>
      </c>
      <c r="J154" s="129" t="s">
        <v>305</v>
      </c>
      <c r="K154" s="128" t="s">
        <v>7</v>
      </c>
      <c r="L154" s="128" t="s">
        <v>6</v>
      </c>
      <c r="M154" s="128">
        <v>1</v>
      </c>
      <c r="N154" s="130">
        <v>0</v>
      </c>
      <c r="O154" s="128">
        <v>0</v>
      </c>
      <c r="P154" s="129" t="str">
        <f>VLOOKUP(A154:A381,[1]Coefficients!$A$5:$T$232,19,FALSE)</f>
        <v>22ZFL004839----O</v>
      </c>
      <c r="Q154" s="129"/>
      <c r="R154" s="95"/>
    </row>
    <row r="155" spans="1:18" s="94" customFormat="1" ht="20.25" customHeight="1" x14ac:dyDescent="0.2">
      <c r="A155" s="130" t="s">
        <v>1045</v>
      </c>
      <c r="B155" s="131" t="s">
        <v>304</v>
      </c>
      <c r="C155" s="131" t="s">
        <v>303</v>
      </c>
      <c r="D155" s="131" t="s">
        <v>92</v>
      </c>
      <c r="E155" s="130" t="str">
        <f>VLOOKUP(A155:A382,[1]Coefficients!$A$5:$R$232,5,FALSE)</f>
        <v>Tijsmanstunnel West</v>
      </c>
      <c r="F155" s="131" t="str">
        <f>VLOOKUP(A155:A382,[1]Coefficients!$A$5:$R$232,6,FALSE)</f>
        <v>z/n</v>
      </c>
      <c r="G155" s="131">
        <f>VLOOKUP(A155:A382,[1]Coefficients!$A$5:$R$232,7,FALSE)</f>
        <v>2040</v>
      </c>
      <c r="H155" s="130" t="str">
        <f>VLOOKUP(A155:A382,[1]Coefficients!$A$5:$R$232,8,FALSE)</f>
        <v>ANTWERPEN</v>
      </c>
      <c r="I155" s="130" t="s">
        <v>300</v>
      </c>
      <c r="J155" s="131" t="s">
        <v>299</v>
      </c>
      <c r="K155" s="130" t="s">
        <v>13</v>
      </c>
      <c r="L155" s="130" t="s">
        <v>6</v>
      </c>
      <c r="M155" s="130">
        <v>1</v>
      </c>
      <c r="N155" s="130">
        <v>0</v>
      </c>
      <c r="O155" s="130">
        <v>0</v>
      </c>
      <c r="P155" s="131" t="str">
        <f>VLOOKUP(A155:A382,[1]Coefficients!$A$5:$T$232,19,FALSE)</f>
        <v>22ZFL004718----F</v>
      </c>
      <c r="Q155" s="131"/>
      <c r="R155" s="95"/>
    </row>
    <row r="156" spans="1:18" s="94" customFormat="1" ht="20.25" customHeight="1" x14ac:dyDescent="0.2">
      <c r="A156" s="128" t="s">
        <v>1046</v>
      </c>
      <c r="B156" s="129" t="s">
        <v>302</v>
      </c>
      <c r="C156" s="129" t="s">
        <v>301</v>
      </c>
      <c r="D156" s="129" t="s">
        <v>92</v>
      </c>
      <c r="E156" s="128" t="str">
        <f>VLOOKUP(A156:A383,[1]Coefficients!$A$5:$R$232,5,FALSE)</f>
        <v>Tijsmanstunnel West</v>
      </c>
      <c r="F156" s="129" t="str">
        <f>VLOOKUP(A156:A383,[1]Coefficients!$A$5:$R$232,6,FALSE)</f>
        <v>z/n</v>
      </c>
      <c r="G156" s="129">
        <f>VLOOKUP(A156:A383,[1]Coefficients!$A$5:$R$232,7,FALSE)</f>
        <v>2040</v>
      </c>
      <c r="H156" s="128" t="str">
        <f>VLOOKUP(A156:A383,[1]Coefficients!$A$5:$R$232,8,FALSE)</f>
        <v>ANTWERPEN</v>
      </c>
      <c r="I156" s="128" t="s">
        <v>300</v>
      </c>
      <c r="J156" s="129" t="s">
        <v>299</v>
      </c>
      <c r="K156" s="128" t="s">
        <v>13</v>
      </c>
      <c r="L156" s="128" t="s">
        <v>6</v>
      </c>
      <c r="M156" s="128">
        <v>1</v>
      </c>
      <c r="N156" s="130">
        <v>0</v>
      </c>
      <c r="O156" s="128">
        <v>0</v>
      </c>
      <c r="P156" s="129" t="str">
        <f>VLOOKUP(A156:A383,[1]Coefficients!$A$5:$T$232,19,FALSE)</f>
        <v>22ZFL004718----F</v>
      </c>
      <c r="Q156" s="129"/>
      <c r="R156" s="95"/>
    </row>
    <row r="157" spans="1:18" s="94" customFormat="1" ht="20.25" customHeight="1" x14ac:dyDescent="0.2">
      <c r="A157" s="130" t="s">
        <v>296</v>
      </c>
      <c r="B157" s="131" t="s">
        <v>298</v>
      </c>
      <c r="C157" s="131" t="s">
        <v>297</v>
      </c>
      <c r="D157" s="131" t="s">
        <v>92</v>
      </c>
      <c r="E157" s="130" t="str">
        <f>VLOOKUP(A157:A384,[1]Coefficients!$A$5:$R$232,5,FALSE)</f>
        <v>Canadastraat Haven 1009</v>
      </c>
      <c r="F157" s="131" t="str">
        <f>VLOOKUP(A157:A384,[1]Coefficients!$A$5:$R$232,6,FALSE)</f>
        <v>z/n</v>
      </c>
      <c r="G157" s="131">
        <f>VLOOKUP(A157:A384,[1]Coefficients!$A$5:$R$232,7,FALSE)</f>
        <v>2070</v>
      </c>
      <c r="H157" s="130" t="str">
        <f>VLOOKUP(A157:A384,[1]Coefficients!$A$5:$R$232,8,FALSE)</f>
        <v>ZWIJNDRECHT</v>
      </c>
      <c r="I157" s="130" t="s">
        <v>296</v>
      </c>
      <c r="J157" s="131" t="s">
        <v>295</v>
      </c>
      <c r="K157" s="130" t="s">
        <v>7</v>
      </c>
      <c r="L157" s="130" t="s">
        <v>6</v>
      </c>
      <c r="M157" s="130">
        <v>1</v>
      </c>
      <c r="N157" s="130">
        <v>0</v>
      </c>
      <c r="O157" s="130">
        <v>0</v>
      </c>
      <c r="P157" s="131" t="str">
        <f>VLOOKUP(A157:A384,[1]Coefficients!$A$5:$T$232,19,FALSE)</f>
        <v>22ZFL005936----P</v>
      </c>
      <c r="Q157" s="131"/>
      <c r="R157" s="95"/>
    </row>
    <row r="158" spans="1:18" s="94" customFormat="1" ht="20.25" customHeight="1" x14ac:dyDescent="0.2">
      <c r="A158" s="128" t="s">
        <v>292</v>
      </c>
      <c r="B158" s="129" t="s">
        <v>294</v>
      </c>
      <c r="C158" s="129" t="s">
        <v>293</v>
      </c>
      <c r="D158" s="129" t="s">
        <v>92</v>
      </c>
      <c r="E158" s="128" t="str">
        <f>VLOOKUP(A158:A385,[1]Coefficients!$A$5:$R$232,5,FALSE)</f>
        <v>Noordkaai poort F</v>
      </c>
      <c r="F158" s="129" t="str">
        <f>VLOOKUP(A158:A385,[1]Coefficients!$A$5:$R$232,6,FALSE)</f>
        <v>z/n</v>
      </c>
      <c r="G158" s="129">
        <f>VLOOKUP(A158:A385,[1]Coefficients!$A$5:$R$232,7,FALSE)</f>
        <v>8870</v>
      </c>
      <c r="H158" s="128" t="str">
        <f>VLOOKUP(A158:A385,[1]Coefficients!$A$5:$R$232,8,FALSE)</f>
        <v>IZEGEM</v>
      </c>
      <c r="I158" s="128" t="s">
        <v>292</v>
      </c>
      <c r="J158" s="129" t="s">
        <v>291</v>
      </c>
      <c r="K158" s="128" t="s">
        <v>7</v>
      </c>
      <c r="L158" s="128" t="s">
        <v>6</v>
      </c>
      <c r="M158" s="128">
        <v>1</v>
      </c>
      <c r="N158" s="130">
        <v>0</v>
      </c>
      <c r="O158" s="128">
        <v>0</v>
      </c>
      <c r="P158" s="129" t="str">
        <f>VLOOKUP(A158:A385,[1]Coefficients!$A$5:$T$232,19,FALSE)</f>
        <v>22ZFL-004822---L</v>
      </c>
      <c r="Q158" s="129"/>
      <c r="R158" s="95"/>
    </row>
    <row r="159" spans="1:18" s="94" customFormat="1" ht="20.25" customHeight="1" x14ac:dyDescent="0.2">
      <c r="A159" s="130" t="s">
        <v>1047</v>
      </c>
      <c r="B159" s="131" t="s">
        <v>228</v>
      </c>
      <c r="C159" s="131" t="s">
        <v>227</v>
      </c>
      <c r="D159" s="131" t="s">
        <v>92</v>
      </c>
      <c r="E159" s="130" t="str">
        <f>VLOOKUP(A159:A386,[1]Coefficients!$A$5:$R$232,5,FALSE)</f>
        <v>Haven 1053 - Nieuwe Weg</v>
      </c>
      <c r="F159" s="131">
        <f>VLOOKUP(A159:A386,[1]Coefficients!$A$5:$R$232,6,FALSE)</f>
        <v>1</v>
      </c>
      <c r="G159" s="131">
        <f>VLOOKUP(A159:A386,[1]Coefficients!$A$5:$R$232,7,FALSE)</f>
        <v>2070</v>
      </c>
      <c r="H159" s="130" t="str">
        <f>VLOOKUP(A159:A386,[1]Coefficients!$A$5:$R$232,8,FALSE)</f>
        <v>ZWIJNDRECHT</v>
      </c>
      <c r="I159" s="130" t="s">
        <v>1038</v>
      </c>
      <c r="J159" s="131" t="s">
        <v>226</v>
      </c>
      <c r="K159" s="130" t="s">
        <v>7</v>
      </c>
      <c r="L159" s="130" t="s">
        <v>6</v>
      </c>
      <c r="M159" s="130">
        <v>1</v>
      </c>
      <c r="N159" s="130">
        <v>0</v>
      </c>
      <c r="O159" s="130">
        <v>0</v>
      </c>
      <c r="P159" s="131" t="str">
        <f>VLOOKUP(A159:A386,[1]Coefficients!$A$5:$T$232,19,FALSE)</f>
        <v>22ZFL005909----S</v>
      </c>
      <c r="Q159" s="131"/>
      <c r="R159" s="95"/>
    </row>
    <row r="160" spans="1:18" s="94" customFormat="1" ht="20.25" customHeight="1" x14ac:dyDescent="0.2">
      <c r="A160" s="128" t="s">
        <v>290</v>
      </c>
      <c r="B160" s="129" t="s">
        <v>289</v>
      </c>
      <c r="C160" s="129" t="s">
        <v>288</v>
      </c>
      <c r="D160" s="129" t="s">
        <v>92</v>
      </c>
      <c r="E160" s="128" t="str">
        <f>VLOOKUP(A160:A387,[1]Coefficients!$A$5:$R$232,5,FALSE)</f>
        <v>Haven 1930 - Geslecht</v>
      </c>
      <c r="F160" s="129">
        <f>VLOOKUP(A160:A387,[1]Coefficients!$A$5:$R$232,6,FALSE)</f>
        <v>1</v>
      </c>
      <c r="G160" s="129">
        <f>VLOOKUP(A160:A387,[1]Coefficients!$A$5:$R$232,7,FALSE)</f>
        <v>9130</v>
      </c>
      <c r="H160" s="128" t="str">
        <f>VLOOKUP(A160:A387,[1]Coefficients!$A$5:$R$232,8,FALSE)</f>
        <v>DOEL</v>
      </c>
      <c r="I160" s="128" t="s">
        <v>287</v>
      </c>
      <c r="J160" s="129" t="s">
        <v>286</v>
      </c>
      <c r="K160" s="128" t="s">
        <v>7</v>
      </c>
      <c r="L160" s="128" t="s">
        <v>6</v>
      </c>
      <c r="M160" s="128">
        <v>1</v>
      </c>
      <c r="N160" s="130">
        <v>0</v>
      </c>
      <c r="O160" s="128">
        <v>0</v>
      </c>
      <c r="P160" s="129" t="str">
        <f>VLOOKUP(A160:A387,[1]Coefficients!$A$5:$T$232,19,FALSE)</f>
        <v>22ZFL005564----B</v>
      </c>
      <c r="Q160" s="129"/>
      <c r="R160" s="95"/>
    </row>
    <row r="161" spans="1:18" s="94" customFormat="1" ht="20.25" customHeight="1" x14ac:dyDescent="0.2">
      <c r="A161" s="130" t="s">
        <v>283</v>
      </c>
      <c r="B161" s="131" t="s">
        <v>285</v>
      </c>
      <c r="C161" s="131" t="s">
        <v>284</v>
      </c>
      <c r="D161" s="131" t="s">
        <v>92</v>
      </c>
      <c r="E161" s="130" t="str">
        <f>VLOOKUP(A161:A388,[1]Coefficients!$A$5:$R$232,5,FALSE)</f>
        <v>rue de Solvay</v>
      </c>
      <c r="F161" s="131">
        <f>VLOOKUP(A161:A388,[1]Coefficients!$A$5:$R$232,6,FALSE)</f>
        <v>39</v>
      </c>
      <c r="G161" s="131">
        <f>VLOOKUP(A161:A388,[1]Coefficients!$A$5:$R$232,7,FALSE)</f>
        <v>5190</v>
      </c>
      <c r="H161" s="130" t="str">
        <f>VLOOKUP(A161:A388,[1]Coefficients!$A$5:$R$232,8,FALSE)</f>
        <v>JEMEPPE-SUR-SAMBRE</v>
      </c>
      <c r="I161" s="130" t="s">
        <v>283</v>
      </c>
      <c r="J161" s="131" t="s">
        <v>282</v>
      </c>
      <c r="K161" s="130" t="s">
        <v>7</v>
      </c>
      <c r="L161" s="130" t="s">
        <v>6</v>
      </c>
      <c r="M161" s="130">
        <v>1</v>
      </c>
      <c r="N161" s="130">
        <v>0</v>
      </c>
      <c r="O161" s="130">
        <v>0</v>
      </c>
      <c r="P161" s="131" t="str">
        <f>VLOOKUP(A161:A388,[1]Coefficients!$A$5:$T$232,19,FALSE)</f>
        <v>22ZFL522930----D</v>
      </c>
      <c r="Q161" s="131"/>
      <c r="R161" s="95"/>
    </row>
    <row r="162" spans="1:18" s="94" customFormat="1" ht="20.25" customHeight="1" x14ac:dyDescent="0.2">
      <c r="A162" s="128" t="s">
        <v>1048</v>
      </c>
      <c r="B162" s="129" t="s">
        <v>1049</v>
      </c>
      <c r="C162" s="129" t="s">
        <v>1050</v>
      </c>
      <c r="D162" s="129" t="s">
        <v>92</v>
      </c>
      <c r="E162" s="128" t="str">
        <f>VLOOKUP(A162:A389,[1]Coefficients!$A$5:$R$232,5,FALSE)</f>
        <v>Scheldelaan</v>
      </c>
      <c r="F162" s="129">
        <f>VLOOKUP(A162:A389,[1]Coefficients!$A$5:$R$232,6,FALSE)</f>
        <v>630</v>
      </c>
      <c r="G162" s="129">
        <f>VLOOKUP(A162:A389,[1]Coefficients!$A$5:$R$232,7,FALSE)</f>
        <v>2040</v>
      </c>
      <c r="H162" s="128" t="str">
        <f>VLOOKUP(A162:A389,[1]Coefficients!$A$5:$R$232,8,FALSE)</f>
        <v>ANTWERPEN</v>
      </c>
      <c r="I162" s="128" t="s">
        <v>434</v>
      </c>
      <c r="J162" s="129" t="s">
        <v>433</v>
      </c>
      <c r="K162" s="128" t="s">
        <v>13</v>
      </c>
      <c r="L162" s="128" t="s">
        <v>6</v>
      </c>
      <c r="M162" s="128">
        <v>1</v>
      </c>
      <c r="N162" s="130">
        <v>0</v>
      </c>
      <c r="O162" s="128">
        <v>0</v>
      </c>
      <c r="P162" s="129" t="str">
        <f>VLOOKUP(A162:A389,[1]Coefficients!$A$5:$T$232,19,FALSE)</f>
        <v>57ZFL007385----E</v>
      </c>
      <c r="Q162" s="129"/>
      <c r="R162" s="95"/>
    </row>
    <row r="163" spans="1:18" s="94" customFormat="1" ht="20.25" customHeight="1" x14ac:dyDescent="0.2">
      <c r="A163" s="130" t="s">
        <v>279</v>
      </c>
      <c r="B163" s="131" t="s">
        <v>281</v>
      </c>
      <c r="C163" s="131" t="s">
        <v>280</v>
      </c>
      <c r="D163" s="131" t="s">
        <v>92</v>
      </c>
      <c r="E163" s="130" t="str">
        <f>VLOOKUP(A163:A390,[1]Coefficients!$A$5:$R$232,5,FALSE)</f>
        <v>Oude Baan</v>
      </c>
      <c r="F163" s="131">
        <f>VLOOKUP(A163:A390,[1]Coefficients!$A$5:$R$232,6,FALSE)</f>
        <v>120</v>
      </c>
      <c r="G163" s="131">
        <f>VLOOKUP(A163:A390,[1]Coefficients!$A$5:$R$232,7,FALSE)</f>
        <v>9200</v>
      </c>
      <c r="H163" s="130" t="str">
        <f>VLOOKUP(A163:A390,[1]Coefficients!$A$5:$R$232,8,FALSE)</f>
        <v>DENDENRMONDE</v>
      </c>
      <c r="I163" s="130" t="s">
        <v>279</v>
      </c>
      <c r="J163" s="131" t="s">
        <v>278</v>
      </c>
      <c r="K163" s="130" t="s">
        <v>7</v>
      </c>
      <c r="L163" s="130" t="s">
        <v>6</v>
      </c>
      <c r="M163" s="130">
        <v>1</v>
      </c>
      <c r="N163" s="130">
        <v>0</v>
      </c>
      <c r="O163" s="130">
        <v>0</v>
      </c>
      <c r="P163" s="131" t="str">
        <f>VLOOKUP(A163:A390,[1]Coefficients!$A$5:$T$232,19,FALSE)</f>
        <v>22ZFL004834----H</v>
      </c>
      <c r="Q163" s="131"/>
      <c r="R163" s="95"/>
    </row>
    <row r="164" spans="1:18" s="94" customFormat="1" ht="20.25" customHeight="1" x14ac:dyDescent="0.2">
      <c r="A164" s="128" t="s">
        <v>277</v>
      </c>
      <c r="B164" s="129" t="s">
        <v>276</v>
      </c>
      <c r="C164" s="129" t="s">
        <v>275</v>
      </c>
      <c r="D164" s="129" t="s">
        <v>92</v>
      </c>
      <c r="E164" s="128" t="str">
        <f>VLOOKUP(A164:A391,[1]Coefficients!$A$5:$R$232,5,FALSE)</f>
        <v>MONTAIGNEWEG</v>
      </c>
      <c r="F164" s="129">
        <f>VLOOKUP(A164:A391,[1]Coefficients!$A$5:$R$232,6,FALSE)</f>
        <v>2</v>
      </c>
      <c r="G164" s="129">
        <f>VLOOKUP(A164:A391,[1]Coefficients!$A$5:$R$232,7,FALSE)</f>
        <v>3620</v>
      </c>
      <c r="H164" s="128" t="str">
        <f>VLOOKUP(A164:A391,[1]Coefficients!$A$5:$R$232,8,FALSE)</f>
        <v>LANAKEN</v>
      </c>
      <c r="I164" s="128" t="s">
        <v>206</v>
      </c>
      <c r="J164" s="129" t="s">
        <v>205</v>
      </c>
      <c r="K164" s="128" t="s">
        <v>13</v>
      </c>
      <c r="L164" s="128" t="s">
        <v>6</v>
      </c>
      <c r="M164" s="128">
        <v>1</v>
      </c>
      <c r="N164" s="130">
        <v>0</v>
      </c>
      <c r="O164" s="128">
        <v>0</v>
      </c>
      <c r="P164" s="129" t="str">
        <f>VLOOKUP(A164:A391,[1]Coefficients!$A$5:$T$232,19,FALSE)</f>
        <v>22ZFL004707----S</v>
      </c>
      <c r="Q164" s="129"/>
      <c r="R164" s="95"/>
    </row>
    <row r="165" spans="1:18" s="94" customFormat="1" ht="20.25" customHeight="1" x14ac:dyDescent="0.2">
      <c r="A165" s="130" t="s">
        <v>272</v>
      </c>
      <c r="B165" s="131" t="s">
        <v>274</v>
      </c>
      <c r="C165" s="131" t="s">
        <v>273</v>
      </c>
      <c r="D165" s="131" t="s">
        <v>92</v>
      </c>
      <c r="E165" s="130" t="str">
        <f>VLOOKUP(A165:A392,[1]Coefficients!$A$5:$R$232,5,FALSE)</f>
        <v>scheldelaan</v>
      </c>
      <c r="F165" s="131">
        <f>VLOOKUP(A165:A392,[1]Coefficients!$A$5:$R$232,6,FALSE)</f>
        <v>16</v>
      </c>
      <c r="G165" s="131">
        <f>VLOOKUP(A165:A392,[1]Coefficients!$A$5:$R$232,7,FALSE)</f>
        <v>2030</v>
      </c>
      <c r="H165" s="130" t="str">
        <f>VLOOKUP(A165:A392,[1]Coefficients!$A$5:$R$232,8,FALSE)</f>
        <v>ANTWERPEN</v>
      </c>
      <c r="I165" s="130" t="s">
        <v>272</v>
      </c>
      <c r="J165" s="131" t="s">
        <v>271</v>
      </c>
      <c r="K165" s="130" t="s">
        <v>7</v>
      </c>
      <c r="L165" s="130" t="s">
        <v>6</v>
      </c>
      <c r="M165" s="130">
        <v>1</v>
      </c>
      <c r="N165" s="130">
        <v>0</v>
      </c>
      <c r="O165" s="130">
        <v>0</v>
      </c>
      <c r="P165" s="131" t="str">
        <f>VLOOKUP(A165:A392,[1]Coefficients!$A$5:$T$232,19,FALSE)</f>
        <v>22ZFL004815----P</v>
      </c>
      <c r="Q165" s="131"/>
      <c r="R165" s="95"/>
    </row>
    <row r="166" spans="1:18" s="94" customFormat="1" ht="20.25" customHeight="1" x14ac:dyDescent="0.2">
      <c r="A166" s="128" t="s">
        <v>270</v>
      </c>
      <c r="B166" s="129" t="s">
        <v>269</v>
      </c>
      <c r="C166" s="129" t="s">
        <v>268</v>
      </c>
      <c r="D166" s="129" t="s">
        <v>10</v>
      </c>
      <c r="E166" s="128" t="str">
        <f>VLOOKUP(A166:A393,[1]Coefficients!$A$5:$R$232,5,FALSE)</f>
        <v>Rue Chauw-à-Roc</v>
      </c>
      <c r="F166" s="129" t="str">
        <f>VLOOKUP(A166:A393,[1]Coefficients!$A$5:$R$232,6,FALSE)</f>
        <v>z/n</v>
      </c>
      <c r="G166" s="129">
        <f>VLOOKUP(A166:A393,[1]Coefficients!$A$5:$R$232,7,FALSE)</f>
        <v>6044</v>
      </c>
      <c r="H166" s="128" t="str">
        <f>VLOOKUP(A166:A393,[1]Coefficients!$A$5:$R$232,8,FALSE)</f>
        <v>ROUX</v>
      </c>
      <c r="I166" s="128" t="s">
        <v>267</v>
      </c>
      <c r="J166" s="129" t="s">
        <v>266</v>
      </c>
      <c r="K166" s="128" t="s">
        <v>7</v>
      </c>
      <c r="L166" s="128" t="s">
        <v>6</v>
      </c>
      <c r="M166" s="128">
        <v>1</v>
      </c>
      <c r="N166" s="130">
        <v>0</v>
      </c>
      <c r="O166" s="128">
        <v>0</v>
      </c>
      <c r="P166" s="129" t="str">
        <f>VLOOKUP(A166:A393,[1]Coefficients!$A$5:$T$232,19,FALSE)</f>
        <v>22ZFL005941----B</v>
      </c>
      <c r="Q166" s="129"/>
      <c r="R166" s="95"/>
    </row>
    <row r="167" spans="1:18" s="94" customFormat="1" ht="20.25" customHeight="1" x14ac:dyDescent="0.2">
      <c r="A167" s="130" t="s">
        <v>265</v>
      </c>
      <c r="B167" s="131" t="s">
        <v>264</v>
      </c>
      <c r="C167" s="131" t="s">
        <v>263</v>
      </c>
      <c r="D167" s="131" t="s">
        <v>10</v>
      </c>
      <c r="E167" s="130" t="str">
        <f>VLOOKUP(A167:A394,[1]Coefficients!$A$5:$R$232,5,FALSE)</f>
        <v>Knippegroen</v>
      </c>
      <c r="F167" s="131">
        <f>VLOOKUP(A167:A394,[1]Coefficients!$A$5:$R$232,6,FALSE)</f>
        <v>3</v>
      </c>
      <c r="G167" s="131">
        <f>VLOOKUP(A167:A394,[1]Coefficients!$A$5:$R$232,7,FALSE)</f>
        <v>9042</v>
      </c>
      <c r="H167" s="130" t="str">
        <f>VLOOKUP(A167:A394,[1]Coefficients!$A$5:$R$232,8,FALSE)</f>
        <v>SINT-KRUISWINKEL</v>
      </c>
      <c r="I167" s="130" t="s">
        <v>262</v>
      </c>
      <c r="J167" s="131" t="s">
        <v>261</v>
      </c>
      <c r="K167" s="130" t="s">
        <v>7</v>
      </c>
      <c r="L167" s="130" t="s">
        <v>6</v>
      </c>
      <c r="M167" s="130">
        <v>1</v>
      </c>
      <c r="N167" s="130">
        <v>0</v>
      </c>
      <c r="O167" s="130">
        <v>0</v>
      </c>
      <c r="P167" s="131" t="str">
        <f>VLOOKUP(A167:A394,[1]Coefficients!$A$5:$T$232,19,FALSE)</f>
        <v>22ZFL005940----H</v>
      </c>
      <c r="Q167" s="131"/>
      <c r="R167" s="95"/>
    </row>
    <row r="168" spans="1:18" s="94" customFormat="1" ht="20.25" customHeight="1" x14ac:dyDescent="0.2">
      <c r="A168" s="128" t="s">
        <v>260</v>
      </c>
      <c r="B168" s="129" t="s">
        <v>259</v>
      </c>
      <c r="C168" s="129" t="s">
        <v>258</v>
      </c>
      <c r="D168" s="129" t="s">
        <v>10</v>
      </c>
      <c r="E168" s="128" t="str">
        <f>VLOOKUP(A168:A395,[1]Coefficients!$A$5:$R$232,5,FALSE)</f>
        <v>Rue de Fechereux</v>
      </c>
      <c r="F168" s="129">
        <f>VLOOKUP(A168:A395,[1]Coefficients!$A$5:$R$232,6,FALSE)</f>
        <v>43</v>
      </c>
      <c r="G168" s="129">
        <f>VLOOKUP(A168:A395,[1]Coefficients!$A$5:$R$232,7,FALSE)</f>
        <v>4031</v>
      </c>
      <c r="H168" s="128" t="str">
        <f>VLOOKUP(A168:A395,[1]Coefficients!$A$5:$R$232,8,FALSE)</f>
        <v>ANGLEUR</v>
      </c>
      <c r="I168" s="128" t="s">
        <v>257</v>
      </c>
      <c r="J168" s="129" t="s">
        <v>256</v>
      </c>
      <c r="K168" s="128" t="s">
        <v>7</v>
      </c>
      <c r="L168" s="128" t="s">
        <v>6</v>
      </c>
      <c r="M168" s="128">
        <v>1</v>
      </c>
      <c r="N168" s="130">
        <v>0</v>
      </c>
      <c r="O168" s="128">
        <v>0</v>
      </c>
      <c r="P168" s="129" t="str">
        <f>VLOOKUP(A168:A395,[1]Coefficients!$A$5:$T$232,19,FALSE)</f>
        <v>22ZFL004827----6</v>
      </c>
      <c r="Q168" s="129"/>
      <c r="R168" s="95"/>
    </row>
    <row r="169" spans="1:18" s="94" customFormat="1" ht="20.25" customHeight="1" x14ac:dyDescent="0.2">
      <c r="A169" s="130" t="s">
        <v>253</v>
      </c>
      <c r="B169" s="131" t="s">
        <v>255</v>
      </c>
      <c r="C169" s="131" t="s">
        <v>254</v>
      </c>
      <c r="D169" s="131" t="s">
        <v>10</v>
      </c>
      <c r="E169" s="130" t="str">
        <f>VLOOKUP(A169:A396,[1]Coefficients!$A$5:$R$232,5,FALSE)</f>
        <v>Fabriekstraat</v>
      </c>
      <c r="F169" s="131" t="str">
        <f>VLOOKUP(A169:A396,[1]Coefficients!$A$5:$R$232,6,FALSE)</f>
        <v>zn</v>
      </c>
      <c r="G169" s="131">
        <f>VLOOKUP(A169:A396,[1]Coefficients!$A$5:$R$232,7,FALSE)</f>
        <v>3980</v>
      </c>
      <c r="H169" s="130" t="str">
        <f>VLOOKUP(A169:A396,[1]Coefficients!$A$5:$R$232,8,FALSE)</f>
        <v>TESSENDERLO</v>
      </c>
      <c r="I169" s="130" t="s">
        <v>253</v>
      </c>
      <c r="J169" s="131" t="s">
        <v>252</v>
      </c>
      <c r="K169" s="130" t="s">
        <v>7</v>
      </c>
      <c r="L169" s="130" t="s">
        <v>6</v>
      </c>
      <c r="M169" s="130">
        <v>1</v>
      </c>
      <c r="N169" s="130">
        <v>0</v>
      </c>
      <c r="O169" s="130">
        <v>0</v>
      </c>
      <c r="P169" s="131" t="str">
        <f>VLOOKUP(A169:A396,[1]Coefficients!$A$5:$T$232,19,FALSE)</f>
        <v>22ZFL005955----H</v>
      </c>
      <c r="Q169" s="131"/>
      <c r="R169" s="95"/>
    </row>
    <row r="170" spans="1:18" s="94" customFormat="1" ht="20.25" customHeight="1" x14ac:dyDescent="0.2">
      <c r="A170" s="128" t="s">
        <v>249</v>
      </c>
      <c r="B170" s="129" t="s">
        <v>251</v>
      </c>
      <c r="C170" s="129" t="s">
        <v>250</v>
      </c>
      <c r="D170" s="129" t="s">
        <v>16</v>
      </c>
      <c r="E170" s="128" t="str">
        <f>VLOOKUP(A170:A397,[1]Coefficients!$A$5:$R$232,5,FALSE)</f>
        <v>Metropoolstraat</v>
      </c>
      <c r="F170" s="129">
        <f>VLOOKUP(A170:A397,[1]Coefficients!$A$5:$R$232,6,FALSE)</f>
        <v>17</v>
      </c>
      <c r="G170" s="129">
        <f>VLOOKUP(A170:A397,[1]Coefficients!$A$5:$R$232,7,FALSE)</f>
        <v>2900</v>
      </c>
      <c r="H170" s="128" t="str">
        <f>VLOOKUP(A170:A397,[1]Coefficients!$A$5:$R$232,8,FALSE)</f>
        <v>SCHOTEN</v>
      </c>
      <c r="I170" s="128" t="s">
        <v>249</v>
      </c>
      <c r="J170" s="129" t="s">
        <v>248</v>
      </c>
      <c r="K170" s="128" t="s">
        <v>13</v>
      </c>
      <c r="L170" s="128" t="s">
        <v>6</v>
      </c>
      <c r="M170" s="128">
        <v>1</v>
      </c>
      <c r="N170" s="130">
        <v>0</v>
      </c>
      <c r="O170" s="128">
        <v>0</v>
      </c>
      <c r="P170" s="129" t="str">
        <f>VLOOKUP(A170:A397,[1]Coefficients!$A$5:$T$232,19,FALSE)</f>
        <v>57ZFL007296----9</v>
      </c>
      <c r="Q170" s="129"/>
      <c r="R170" s="95"/>
    </row>
    <row r="171" spans="1:18" s="94" customFormat="1" ht="20.25" customHeight="1" x14ac:dyDescent="0.2">
      <c r="A171" s="130" t="s">
        <v>245</v>
      </c>
      <c r="B171" s="131" t="s">
        <v>247</v>
      </c>
      <c r="C171" s="131" t="s">
        <v>246</v>
      </c>
      <c r="D171" s="131" t="s">
        <v>16</v>
      </c>
      <c r="E171" s="130" t="str">
        <f>VLOOKUP(A171:A398,[1]Coefficients!$A$5:$R$232,5,FALSE)</f>
        <v>Rue Joseph Wauters</v>
      </c>
      <c r="F171" s="131">
        <f>VLOOKUP(A171:A398,[1]Coefficients!$A$5:$R$232,6,FALSE)</f>
        <v>144</v>
      </c>
      <c r="G171" s="131">
        <f>VLOOKUP(A171:A398,[1]Coefficients!$A$5:$R$232,7,FALSE)</f>
        <v>4480</v>
      </c>
      <c r="H171" s="130" t="str">
        <f>VLOOKUP(A171:A398,[1]Coefficients!$A$5:$R$232,8,FALSE)</f>
        <v>ENGIS</v>
      </c>
      <c r="I171" s="130" t="s">
        <v>245</v>
      </c>
      <c r="J171" s="131" t="s">
        <v>244</v>
      </c>
      <c r="K171" s="130" t="s">
        <v>13</v>
      </c>
      <c r="L171" s="130" t="s">
        <v>6</v>
      </c>
      <c r="M171" s="130">
        <v>1</v>
      </c>
      <c r="N171" s="128">
        <v>1</v>
      </c>
      <c r="O171" s="130">
        <v>1</v>
      </c>
      <c r="P171" s="131" t="str">
        <f>VLOOKUP(A171:A398,[1]Coefficients!$A$5:$T$232,19,FALSE)</f>
        <v>22ZFL004782----2</v>
      </c>
      <c r="Q171" s="131"/>
      <c r="R171" s="95"/>
    </row>
    <row r="172" spans="1:18" s="94" customFormat="1" ht="20.25" customHeight="1" x14ac:dyDescent="0.2">
      <c r="A172" s="128" t="s">
        <v>241</v>
      </c>
      <c r="B172" s="129" t="s">
        <v>243</v>
      </c>
      <c r="C172" s="129" t="s">
        <v>242</v>
      </c>
      <c r="D172" s="129" t="s">
        <v>16</v>
      </c>
      <c r="E172" s="128" t="str">
        <f>VLOOKUP(A172:A399,[1]Coefficients!$A$5:$R$232,5,FALSE)</f>
        <v>Gansbroekstraat</v>
      </c>
      <c r="F172" s="129">
        <f>VLOOKUP(A172:A399,[1]Coefficients!$A$5:$R$232,6,FALSE)</f>
        <v>31</v>
      </c>
      <c r="G172" s="129">
        <f>VLOOKUP(A172:A399,[1]Coefficients!$A$5:$R$232,7,FALSE)</f>
        <v>2870</v>
      </c>
      <c r="H172" s="128" t="str">
        <f>VLOOKUP(A172:A399,[1]Coefficients!$A$5:$R$232,8,FALSE)</f>
        <v>PUURS</v>
      </c>
      <c r="I172" s="128" t="s">
        <v>241</v>
      </c>
      <c r="J172" s="129" t="s">
        <v>240</v>
      </c>
      <c r="K172" s="128" t="s">
        <v>13</v>
      </c>
      <c r="L172" s="128" t="s">
        <v>19</v>
      </c>
      <c r="M172" s="128">
        <v>1</v>
      </c>
      <c r="N172" s="128">
        <v>1</v>
      </c>
      <c r="O172" s="128">
        <v>0</v>
      </c>
      <c r="P172" s="129" t="str">
        <f>VLOOKUP(A172:A399,[1]Coefficients!$A$5:$T$232,19,FALSE)</f>
        <v>22ZFL004730----C</v>
      </c>
      <c r="Q172" s="129"/>
      <c r="R172" s="95"/>
    </row>
    <row r="173" spans="1:18" s="94" customFormat="1" ht="20.25" customHeight="1" x14ac:dyDescent="0.2">
      <c r="A173" s="130" t="s">
        <v>234</v>
      </c>
      <c r="B173" s="131" t="s">
        <v>236</v>
      </c>
      <c r="C173" s="131" t="s">
        <v>235</v>
      </c>
      <c r="D173" s="131" t="s">
        <v>16</v>
      </c>
      <c r="E173" s="130" t="str">
        <f>VLOOKUP(A173:A400,[1]Coefficients!$A$5:$R$232,5,FALSE)</f>
        <v>Route De La Bruyère</v>
      </c>
      <c r="F173" s="131">
        <f>VLOOKUP(A173:A400,[1]Coefficients!$A$5:$R$232,6,FALSE)</f>
        <v>3</v>
      </c>
      <c r="G173" s="131">
        <f>VLOOKUP(A173:A400,[1]Coefficients!$A$5:$R$232,7,FALSE)</f>
        <v>5310</v>
      </c>
      <c r="H173" s="130" t="str">
        <f>VLOOKUP(A173:A400,[1]Coefficients!$A$5:$R$232,8,FALSE)</f>
        <v>EGHEZEE</v>
      </c>
      <c r="I173" s="130" t="s">
        <v>234</v>
      </c>
      <c r="J173" s="131" t="s">
        <v>233</v>
      </c>
      <c r="K173" s="130" t="s">
        <v>13</v>
      </c>
      <c r="L173" s="130" t="s">
        <v>6</v>
      </c>
      <c r="M173" s="130">
        <v>1</v>
      </c>
      <c r="N173" s="130">
        <v>0</v>
      </c>
      <c r="O173" s="130">
        <v>0</v>
      </c>
      <c r="P173" s="131" t="str">
        <f>VLOOKUP(A173:A400,[1]Coefficients!$A$5:$T$232,19,FALSE)</f>
        <v>22ZFL005855----P</v>
      </c>
      <c r="Q173" s="131"/>
      <c r="R173" s="95"/>
    </row>
    <row r="174" spans="1:18" s="94" customFormat="1" ht="20.25" customHeight="1" x14ac:dyDescent="0.2">
      <c r="A174" s="128" t="s">
        <v>230</v>
      </c>
      <c r="B174" s="129" t="s">
        <v>232</v>
      </c>
      <c r="C174" s="129" t="s">
        <v>231</v>
      </c>
      <c r="D174" s="129" t="s">
        <v>16</v>
      </c>
      <c r="E174" s="128" t="str">
        <f>VLOOKUP(A174:A401,[1]Coefficients!$A$5:$R$232,5,FALSE)</f>
        <v>Meulestedekaai</v>
      </c>
      <c r="F174" s="129">
        <f>VLOOKUP(A174:A401,[1]Coefficients!$A$5:$R$232,6,FALSE)</f>
        <v>81</v>
      </c>
      <c r="G174" s="129">
        <f>VLOOKUP(A174:A401,[1]Coefficients!$A$5:$R$232,7,FALSE)</f>
        <v>9000</v>
      </c>
      <c r="H174" s="128" t="str">
        <f>VLOOKUP(A174:A401,[1]Coefficients!$A$5:$R$232,8,FALSE)</f>
        <v>GENT</v>
      </c>
      <c r="I174" s="128" t="s">
        <v>230</v>
      </c>
      <c r="J174" s="129" t="s">
        <v>229</v>
      </c>
      <c r="K174" s="128" t="s">
        <v>13</v>
      </c>
      <c r="L174" s="128" t="s">
        <v>6</v>
      </c>
      <c r="M174" s="128">
        <v>1</v>
      </c>
      <c r="N174" s="128">
        <v>1</v>
      </c>
      <c r="O174" s="128">
        <v>1</v>
      </c>
      <c r="P174" s="129" t="str">
        <f>VLOOKUP(A174:A401,[1]Coefficients!$A$5:$T$232,19,FALSE)</f>
        <v>22ZFL004743----O</v>
      </c>
      <c r="Q174" s="129"/>
      <c r="R174" s="95"/>
    </row>
    <row r="175" spans="1:18" s="94" customFormat="1" ht="20.25" customHeight="1" x14ac:dyDescent="0.2">
      <c r="A175" s="130" t="s">
        <v>223</v>
      </c>
      <c r="B175" s="131" t="s">
        <v>225</v>
      </c>
      <c r="C175" s="131" t="s">
        <v>224</v>
      </c>
      <c r="D175" s="131" t="s">
        <v>16</v>
      </c>
      <c r="E175" s="130" t="str">
        <f>VLOOKUP(A175:A402,[1]Coefficients!$A$5:$R$232,5,FALSE)</f>
        <v>Langerbruggekaai</v>
      </c>
      <c r="F175" s="131">
        <f>VLOOKUP(A175:A402,[1]Coefficients!$A$5:$R$232,6,FALSE)</f>
        <v>13</v>
      </c>
      <c r="G175" s="131">
        <f>VLOOKUP(A175:A402,[1]Coefficients!$A$5:$R$232,7,FALSE)</f>
        <v>9000</v>
      </c>
      <c r="H175" s="130" t="str">
        <f>VLOOKUP(A175:A402,[1]Coefficients!$A$5:$R$232,8,FALSE)</f>
        <v>GENT</v>
      </c>
      <c r="I175" s="130" t="s">
        <v>223</v>
      </c>
      <c r="J175" s="131" t="s">
        <v>222</v>
      </c>
      <c r="K175" s="130" t="s">
        <v>13</v>
      </c>
      <c r="L175" s="130" t="s">
        <v>6</v>
      </c>
      <c r="M175" s="130">
        <v>1</v>
      </c>
      <c r="N175" s="130">
        <v>0</v>
      </c>
      <c r="O175" s="130">
        <v>0</v>
      </c>
      <c r="P175" s="131" t="str">
        <f>VLOOKUP(A175:A402,[1]Coefficients!$A$5:$T$232,19,FALSE)</f>
        <v>22ZFL424970----F</v>
      </c>
      <c r="Q175" s="131"/>
      <c r="R175" s="95"/>
    </row>
    <row r="176" spans="1:18" s="94" customFormat="1" ht="20.25" customHeight="1" x14ac:dyDescent="0.2">
      <c r="A176" s="128" t="s">
        <v>219</v>
      </c>
      <c r="B176" s="129" t="s">
        <v>221</v>
      </c>
      <c r="C176" s="129" t="s">
        <v>220</v>
      </c>
      <c r="D176" s="129" t="s">
        <v>16</v>
      </c>
      <c r="E176" s="128" t="str">
        <f>VLOOKUP(A176:A403,[1]Coefficients!$A$5:$R$232,5,FALSE)</f>
        <v>Route de Liers</v>
      </c>
      <c r="F176" s="129">
        <f>VLOOKUP(A176:A403,[1]Coefficients!$A$5:$R$232,6,FALSE)</f>
        <v>121</v>
      </c>
      <c r="G176" s="129">
        <f>VLOOKUP(A176:A403,[1]Coefficients!$A$5:$R$232,7,FALSE)</f>
        <v>4041</v>
      </c>
      <c r="H176" s="128" t="str">
        <f>VLOOKUP(A176:A403,[1]Coefficients!$A$5:$R$232,8,FALSE)</f>
        <v>MILMORT</v>
      </c>
      <c r="I176" s="128" t="s">
        <v>219</v>
      </c>
      <c r="J176" s="129" t="s">
        <v>218</v>
      </c>
      <c r="K176" s="128" t="s">
        <v>13</v>
      </c>
      <c r="L176" s="128" t="s">
        <v>6</v>
      </c>
      <c r="M176" s="128">
        <v>1</v>
      </c>
      <c r="N176" s="130">
        <v>0</v>
      </c>
      <c r="O176" s="128">
        <v>0</v>
      </c>
      <c r="P176" s="129" t="str">
        <f>VLOOKUP(A176:A403,[1]Coefficients!$A$5:$T$232,19,FALSE)</f>
        <v>22ZFL811550----H</v>
      </c>
      <c r="Q176" s="129"/>
      <c r="R176" s="95"/>
    </row>
    <row r="177" spans="1:18" s="94" customFormat="1" ht="20.25" customHeight="1" x14ac:dyDescent="0.2">
      <c r="A177" s="130" t="s">
        <v>217</v>
      </c>
      <c r="B177" s="131" t="s">
        <v>216</v>
      </c>
      <c r="C177" s="131" t="s">
        <v>215</v>
      </c>
      <c r="D177" s="131" t="s">
        <v>16</v>
      </c>
      <c r="E177" s="130" t="str">
        <f>VLOOKUP(A177:A404,[1]Coefficients!$A$5:$R$232,5,FALSE)</f>
        <v>St Jansweg - Haven 1602</v>
      </c>
      <c r="F177" s="131">
        <f>VLOOKUP(A177:A404,[1]Coefficients!$A$5:$R$232,6,FALSE)</f>
        <v>9</v>
      </c>
      <c r="G177" s="131">
        <f>VLOOKUP(A177:A404,[1]Coefficients!$A$5:$R$232,7,FALSE)</f>
        <v>9130</v>
      </c>
      <c r="H177" s="130" t="str">
        <f>VLOOKUP(A177:A404,[1]Coefficients!$A$5:$R$232,8,FALSE)</f>
        <v>KALLO</v>
      </c>
      <c r="I177" s="130" t="s">
        <v>214</v>
      </c>
      <c r="J177" s="131" t="s">
        <v>213</v>
      </c>
      <c r="K177" s="130" t="s">
        <v>13</v>
      </c>
      <c r="L177" s="130" t="s">
        <v>6</v>
      </c>
      <c r="M177" s="130">
        <v>1</v>
      </c>
      <c r="N177" s="130">
        <v>0</v>
      </c>
      <c r="O177" s="130">
        <v>0</v>
      </c>
      <c r="P177" s="131" t="str">
        <f>VLOOKUP(A177:A404,[1]Coefficients!$A$5:$T$232,19,FALSE)</f>
        <v>22ZFL428910----L</v>
      </c>
      <c r="Q177" s="131"/>
      <c r="R177" s="95"/>
    </row>
    <row r="178" spans="1:18" s="94" customFormat="1" ht="20.25" customHeight="1" x14ac:dyDescent="0.2">
      <c r="A178" s="128" t="s">
        <v>210</v>
      </c>
      <c r="B178" s="129" t="s">
        <v>212</v>
      </c>
      <c r="C178" s="129" t="s">
        <v>211</v>
      </c>
      <c r="D178" s="129" t="s">
        <v>16</v>
      </c>
      <c r="E178" s="128" t="str">
        <f>VLOOKUP(A178:A405,[1]Coefficients!$A$5:$R$232,5,FALSE)</f>
        <v>Route de Wallonie</v>
      </c>
      <c r="F178" s="129">
        <f>VLOOKUP(A178:A405,[1]Coefficients!$A$5:$R$232,6,FALSE)</f>
        <v>1</v>
      </c>
      <c r="G178" s="129">
        <f>VLOOKUP(A178:A405,[1]Coefficients!$A$5:$R$232,7,FALSE)</f>
        <v>7011</v>
      </c>
      <c r="H178" s="128" t="str">
        <f>VLOOKUP(A178:A405,[1]Coefficients!$A$5:$R$232,8,FALSE)</f>
        <v>GHLIN</v>
      </c>
      <c r="I178" s="128" t="s">
        <v>210</v>
      </c>
      <c r="J178" s="129" t="s">
        <v>209</v>
      </c>
      <c r="K178" s="128" t="s">
        <v>13</v>
      </c>
      <c r="L178" s="128" t="s">
        <v>6</v>
      </c>
      <c r="M178" s="128">
        <v>1</v>
      </c>
      <c r="N178" s="128">
        <v>1</v>
      </c>
      <c r="O178" s="128">
        <v>1</v>
      </c>
      <c r="P178" s="129" t="str">
        <f>VLOOKUP(A178:A405,[1]Coefficients!$A$5:$T$232,19,FALSE)</f>
        <v>22ZFL004772----9</v>
      </c>
      <c r="Q178" s="129"/>
      <c r="R178" s="95"/>
    </row>
    <row r="179" spans="1:18" s="94" customFormat="1" ht="20.25" customHeight="1" x14ac:dyDescent="0.2">
      <c r="A179" s="130" t="s">
        <v>206</v>
      </c>
      <c r="B179" s="131" t="s">
        <v>208</v>
      </c>
      <c r="C179" s="131" t="s">
        <v>207</v>
      </c>
      <c r="D179" s="131" t="s">
        <v>16</v>
      </c>
      <c r="E179" s="130" t="str">
        <f>VLOOKUP(A179:A406,[1]Coefficients!$A$5:$R$232,5,FALSE)</f>
        <v>Montaigneweg</v>
      </c>
      <c r="F179" s="131">
        <f>VLOOKUP(A179:A406,[1]Coefficients!$A$5:$R$232,6,FALSE)</f>
        <v>2</v>
      </c>
      <c r="G179" s="131">
        <f>VLOOKUP(A179:A406,[1]Coefficients!$A$5:$R$232,7,FALSE)</f>
        <v>3620</v>
      </c>
      <c r="H179" s="130" t="str">
        <f>VLOOKUP(A179:A406,[1]Coefficients!$A$5:$R$232,8,FALSE)</f>
        <v>LANAKEN</v>
      </c>
      <c r="I179" s="130" t="s">
        <v>206</v>
      </c>
      <c r="J179" s="131" t="s">
        <v>205</v>
      </c>
      <c r="K179" s="130" t="s">
        <v>13</v>
      </c>
      <c r="L179" s="130" t="s">
        <v>6</v>
      </c>
      <c r="M179" s="130">
        <v>1</v>
      </c>
      <c r="N179" s="130">
        <v>0</v>
      </c>
      <c r="O179" s="130">
        <v>0</v>
      </c>
      <c r="P179" s="131" t="str">
        <f>VLOOKUP(A179:A406,[1]Coefficients!$A$5:$T$232,19,FALSE)</f>
        <v>22ZFL004707----S</v>
      </c>
      <c r="Q179" s="131"/>
      <c r="R179" s="95"/>
    </row>
    <row r="180" spans="1:18" s="94" customFormat="1" ht="20.25" customHeight="1" x14ac:dyDescent="0.2">
      <c r="A180" s="128" t="s">
        <v>202</v>
      </c>
      <c r="B180" s="129" t="s">
        <v>204</v>
      </c>
      <c r="C180" s="129" t="s">
        <v>203</v>
      </c>
      <c r="D180" s="129" t="s">
        <v>16</v>
      </c>
      <c r="E180" s="128" t="str">
        <f>VLOOKUP(A180:A407,[1]Coefficients!$A$5:$R$232,5,FALSE)</f>
        <v>Rue du Lion</v>
      </c>
      <c r="F180" s="129">
        <f>VLOOKUP(A180:A407,[1]Coefficients!$A$5:$R$232,6,FALSE)</f>
        <v>5</v>
      </c>
      <c r="G180" s="129">
        <f>VLOOKUP(A180:A407,[1]Coefficients!$A$5:$R$232,7,FALSE)</f>
        <v>5660</v>
      </c>
      <c r="H180" s="128" t="str">
        <f>VLOOKUP(A180:A407,[1]Coefficients!$A$5:$R$232,8,FALSE)</f>
        <v>COUVIN</v>
      </c>
      <c r="I180" s="128" t="s">
        <v>202</v>
      </c>
      <c r="J180" s="129" t="s">
        <v>201</v>
      </c>
      <c r="K180" s="128" t="s">
        <v>13</v>
      </c>
      <c r="L180" s="128" t="s">
        <v>6</v>
      </c>
      <c r="M180" s="128">
        <v>1</v>
      </c>
      <c r="N180" s="128">
        <v>1</v>
      </c>
      <c r="O180" s="128">
        <v>1</v>
      </c>
      <c r="P180" s="129" t="str">
        <f>VLOOKUP(A180:A407,[1]Coefficients!$A$5:$T$232,19,FALSE)</f>
        <v>22ZFL532710----X</v>
      </c>
      <c r="Q180" s="129"/>
      <c r="R180" s="95"/>
    </row>
    <row r="181" spans="1:18" s="94" customFormat="1" ht="20.25" customHeight="1" x14ac:dyDescent="0.2">
      <c r="A181" s="130" t="s">
        <v>198</v>
      </c>
      <c r="B181" s="131" t="s">
        <v>200</v>
      </c>
      <c r="C181" s="131" t="s">
        <v>199</v>
      </c>
      <c r="D181" s="131" t="s">
        <v>16</v>
      </c>
      <c r="E181" s="130" t="str">
        <f>VLOOKUP(A181:A408,[1]Coefficients!$A$5:$R$232,5,FALSE)</f>
        <v>Chaussée de Ramioul</v>
      </c>
      <c r="F181" s="131">
        <f>VLOOKUP(A181:A408,[1]Coefficients!$A$5:$R$232,6,FALSE)</f>
        <v>50</v>
      </c>
      <c r="G181" s="131">
        <f>VLOOKUP(A181:A408,[1]Coefficients!$A$5:$R$232,7,FALSE)</f>
        <v>4400</v>
      </c>
      <c r="H181" s="130" t="str">
        <f>VLOOKUP(A181:A408,[1]Coefficients!$A$5:$R$232,8,FALSE)</f>
        <v>IVOZ-RAMET</v>
      </c>
      <c r="I181" s="130" t="s">
        <v>198</v>
      </c>
      <c r="J181" s="131" t="s">
        <v>197</v>
      </c>
      <c r="K181" s="130" t="s">
        <v>13</v>
      </c>
      <c r="L181" s="130" t="s">
        <v>6</v>
      </c>
      <c r="M181" s="130">
        <v>1</v>
      </c>
      <c r="N181" s="128">
        <v>1</v>
      </c>
      <c r="O181" s="130">
        <v>1</v>
      </c>
      <c r="P181" s="131" t="str">
        <f>VLOOKUP(A181:A408,[1]Coefficients!$A$5:$T$232,19,FALSE)</f>
        <v>22ZFL007155----Q</v>
      </c>
      <c r="Q181" s="131"/>
      <c r="R181" s="95"/>
    </row>
    <row r="182" spans="1:18" s="94" customFormat="1" ht="20.25" customHeight="1" x14ac:dyDescent="0.2">
      <c r="A182" s="128" t="s">
        <v>194</v>
      </c>
      <c r="B182" s="129" t="s">
        <v>196</v>
      </c>
      <c r="C182" s="129" t="s">
        <v>195</v>
      </c>
      <c r="D182" s="129" t="s">
        <v>16</v>
      </c>
      <c r="E182" s="128" t="str">
        <f>VLOOKUP(A182:A409,[1]Coefficients!$A$5:$R$232,5,FALSE)</f>
        <v>Industrieterrein - Maatheide</v>
      </c>
      <c r="F182" s="129">
        <f>VLOOKUP(A182:A409,[1]Coefficients!$A$5:$R$232,6,FALSE)</f>
        <v>125</v>
      </c>
      <c r="G182" s="129">
        <f>VLOOKUP(A182:A409,[1]Coefficients!$A$5:$R$232,7,FALSE)</f>
        <v>3920</v>
      </c>
      <c r="H182" s="128" t="str">
        <f>VLOOKUP(A182:A409,[1]Coefficients!$A$5:$R$232,8,FALSE)</f>
        <v>LOMMEL</v>
      </c>
      <c r="I182" s="128" t="s">
        <v>194</v>
      </c>
      <c r="J182" s="129" t="s">
        <v>193</v>
      </c>
      <c r="K182" s="128" t="s">
        <v>13</v>
      </c>
      <c r="L182" s="128" t="s">
        <v>6</v>
      </c>
      <c r="M182" s="128">
        <v>1</v>
      </c>
      <c r="N182" s="130">
        <v>0</v>
      </c>
      <c r="O182" s="128">
        <v>0</v>
      </c>
      <c r="P182" s="129" t="str">
        <f>VLOOKUP(A182:A409,[1]Coefficients!$A$5:$T$232,19,FALSE)</f>
        <v>22ZFL110430----E</v>
      </c>
      <c r="Q182" s="129" t="str">
        <f>VLOOKUP(A182:A409,[1]Coefficients!$A$5:$T$232,20,FALSE)</f>
        <v>01/06/2016 - Done</v>
      </c>
      <c r="R182" s="95"/>
    </row>
    <row r="183" spans="1:18" s="94" customFormat="1" ht="20.25" customHeight="1" x14ac:dyDescent="0.2">
      <c r="A183" s="130" t="s">
        <v>190</v>
      </c>
      <c r="B183" s="131" t="s">
        <v>192</v>
      </c>
      <c r="C183" s="131" t="s">
        <v>191</v>
      </c>
      <c r="D183" s="131" t="s">
        <v>16</v>
      </c>
      <c r="E183" s="130" t="str">
        <f>VLOOKUP(A183:A410,[1]Coefficients!$A$5:$R$232,5,FALSE)</f>
        <v>De Zate</v>
      </c>
      <c r="F183" s="131">
        <f>VLOOKUP(A183:A410,[1]Coefficients!$A$5:$R$232,6,FALSE)</f>
        <v>1</v>
      </c>
      <c r="G183" s="131">
        <f>VLOOKUP(A183:A410,[1]Coefficients!$A$5:$R$232,7,FALSE)</f>
        <v>2480</v>
      </c>
      <c r="H183" s="130" t="str">
        <f>VLOOKUP(A183:A410,[1]Coefficients!$A$5:$R$232,8,FALSE)</f>
        <v>DESSEL</v>
      </c>
      <c r="I183" s="130" t="s">
        <v>190</v>
      </c>
      <c r="J183" s="131" t="s">
        <v>189</v>
      </c>
      <c r="K183" s="130" t="s">
        <v>13</v>
      </c>
      <c r="L183" s="130" t="s">
        <v>19</v>
      </c>
      <c r="M183" s="130">
        <v>1</v>
      </c>
      <c r="N183" s="130">
        <v>0</v>
      </c>
      <c r="O183" s="130">
        <v>0</v>
      </c>
      <c r="P183" s="131" t="str">
        <f>VLOOKUP(A183:A410,[1]Coefficients!$A$5:$T$232,19,FALSE)</f>
        <v>22ZFL004696----G</v>
      </c>
      <c r="Q183" s="131"/>
      <c r="R183" s="95"/>
    </row>
    <row r="184" spans="1:18" s="94" customFormat="1" ht="20.25" customHeight="1" x14ac:dyDescent="0.2">
      <c r="A184" s="128" t="s">
        <v>188</v>
      </c>
      <c r="B184" s="129" t="s">
        <v>187</v>
      </c>
      <c r="C184" s="129" t="s">
        <v>186</v>
      </c>
      <c r="D184" s="129" t="s">
        <v>16</v>
      </c>
      <c r="E184" s="128" t="str">
        <f>VLOOKUP(A184:A411,[1]Coefficients!$A$5:$R$232,5,FALSE)</f>
        <v>Rue Haigniaux</v>
      </c>
      <c r="F184" s="129">
        <f>VLOOKUP(A184:A411,[1]Coefficients!$A$5:$R$232,6,FALSE)</f>
        <v>1</v>
      </c>
      <c r="G184" s="129">
        <f>VLOOKUP(A184:A411,[1]Coefficients!$A$5:$R$232,7,FALSE)</f>
        <v>5300</v>
      </c>
      <c r="H184" s="128" t="str">
        <f>VLOOKUP(A184:A411,[1]Coefficients!$A$5:$R$232,8,FALSE)</f>
        <v>NAMECHE</v>
      </c>
      <c r="I184" s="128" t="s">
        <v>185</v>
      </c>
      <c r="J184" s="129" t="s">
        <v>184</v>
      </c>
      <c r="K184" s="128" t="s">
        <v>13</v>
      </c>
      <c r="L184" s="128" t="s">
        <v>6</v>
      </c>
      <c r="M184" s="128">
        <v>1</v>
      </c>
      <c r="N184" s="128">
        <v>1</v>
      </c>
      <c r="O184" s="128">
        <v>1</v>
      </c>
      <c r="P184" s="129" t="str">
        <f>VLOOKUP(A184:A411,[1]Coefficients!$A$5:$T$232,19,FALSE)</f>
        <v>22ZFL005931----I</v>
      </c>
      <c r="Q184" s="129"/>
      <c r="R184" s="95"/>
    </row>
    <row r="185" spans="1:18" s="94" customFormat="1" ht="20.25" customHeight="1" x14ac:dyDescent="0.2">
      <c r="A185" s="130" t="s">
        <v>1051</v>
      </c>
      <c r="B185" s="131" t="s">
        <v>706</v>
      </c>
      <c r="C185" s="131" t="s">
        <v>705</v>
      </c>
      <c r="D185" s="131" t="s">
        <v>16</v>
      </c>
      <c r="E185" s="130" t="str">
        <f>VLOOKUP(A185:A412,[1]Coefficients!$A$5:$R$232,5,FALSE)</f>
        <v>Rue de Douvrain 19</v>
      </c>
      <c r="F185" s="131">
        <f>VLOOKUP(A185:A412,[1]Coefficients!$A$5:$R$232,6,FALSE)</f>
        <v>19</v>
      </c>
      <c r="G185" s="131">
        <f>VLOOKUP(A185:A412,[1]Coefficients!$A$5:$R$232,7,FALSE)</f>
        <v>7011</v>
      </c>
      <c r="H185" s="130" t="str">
        <f>VLOOKUP(A185:A412,[1]Coefficients!$A$5:$R$232,8,FALSE)</f>
        <v>GHLIN</v>
      </c>
      <c r="I185" s="130" t="s">
        <v>1051</v>
      </c>
      <c r="J185" s="131" t="s">
        <v>704</v>
      </c>
      <c r="K185" s="130" t="s">
        <v>13</v>
      </c>
      <c r="L185" s="130" t="s">
        <v>6</v>
      </c>
      <c r="M185" s="130">
        <v>1</v>
      </c>
      <c r="N185" s="128">
        <v>1</v>
      </c>
      <c r="O185" s="130">
        <v>1</v>
      </c>
      <c r="P185" s="131" t="str">
        <f>VLOOKUP(A185:A412,[1]Coefficients!$A$5:$T$232,19,FALSE)</f>
        <v>22ZFL732690----0</v>
      </c>
      <c r="Q185" s="131"/>
      <c r="R185" s="95"/>
    </row>
    <row r="186" spans="1:18" s="94" customFormat="1" ht="20.25" customHeight="1" x14ac:dyDescent="0.2">
      <c r="A186" s="128" t="s">
        <v>181</v>
      </c>
      <c r="B186" s="129" t="s">
        <v>183</v>
      </c>
      <c r="C186" s="129" t="s">
        <v>182</v>
      </c>
      <c r="D186" s="129" t="s">
        <v>16</v>
      </c>
      <c r="E186" s="128" t="str">
        <f>VLOOKUP(A186:A413,[1]Coefficients!$A$5:$R$232,5,FALSE)</f>
        <v>Avenue Champion (Zoning Industriel)</v>
      </c>
      <c r="F186" s="129">
        <f>VLOOKUP(A186:A413,[1]Coefficients!$A$5:$R$232,6,FALSE)</f>
        <v>8</v>
      </c>
      <c r="G186" s="129">
        <f>VLOOKUP(A186:A413,[1]Coefficients!$A$5:$R$232,7,FALSE)</f>
        <v>6790</v>
      </c>
      <c r="H186" s="128" t="str">
        <f>VLOOKUP(A186:A413,[1]Coefficients!$A$5:$R$232,8,FALSE)</f>
        <v>AUBANGE</v>
      </c>
      <c r="I186" s="128" t="s">
        <v>181</v>
      </c>
      <c r="J186" s="129" t="s">
        <v>180</v>
      </c>
      <c r="K186" s="128" t="s">
        <v>13</v>
      </c>
      <c r="L186" s="128" t="s">
        <v>6</v>
      </c>
      <c r="M186" s="128">
        <v>1</v>
      </c>
      <c r="N186" s="130">
        <v>0</v>
      </c>
      <c r="O186" s="128">
        <v>0</v>
      </c>
      <c r="P186" s="129" t="str">
        <f>VLOOKUP(A186:A413,[1]Coefficients!$A$5:$T$232,19,FALSE)</f>
        <v>22ZFL875630----1</v>
      </c>
      <c r="Q186" s="129"/>
      <c r="R186" s="95"/>
    </row>
    <row r="187" spans="1:18" s="94" customFormat="1" ht="20.25" customHeight="1" x14ac:dyDescent="0.2">
      <c r="A187" s="130" t="s">
        <v>177</v>
      </c>
      <c r="B187" s="131" t="s">
        <v>179</v>
      </c>
      <c r="C187" s="131" t="s">
        <v>178</v>
      </c>
      <c r="D187" s="131" t="s">
        <v>16</v>
      </c>
      <c r="E187" s="130" t="str">
        <f>VLOOKUP(A187:A414,[1]Coefficients!$A$5:$R$232,5,FALSE)</f>
        <v>Avenue Champion</v>
      </c>
      <c r="F187" s="131" t="str">
        <f>VLOOKUP(A187:A414,[1]Coefficients!$A$5:$R$232,6,FALSE)</f>
        <v>24/Z</v>
      </c>
      <c r="G187" s="131">
        <f>VLOOKUP(A187:A414,[1]Coefficients!$A$5:$R$232,7,FALSE)</f>
        <v>6790</v>
      </c>
      <c r="H187" s="130" t="str">
        <f>VLOOKUP(A187:A414,[1]Coefficients!$A$5:$R$232,8,FALSE)</f>
        <v>AUBANGE</v>
      </c>
      <c r="I187" s="130" t="s">
        <v>177</v>
      </c>
      <c r="J187" s="131" t="s">
        <v>176</v>
      </c>
      <c r="K187" s="130" t="s">
        <v>13</v>
      </c>
      <c r="L187" s="130" t="s">
        <v>6</v>
      </c>
      <c r="M187" s="130">
        <v>1</v>
      </c>
      <c r="N187" s="130">
        <v>0</v>
      </c>
      <c r="O187" s="130">
        <v>0</v>
      </c>
      <c r="P187" s="131" t="str">
        <f>VLOOKUP(A187:A414,[1]Coefficients!$A$5:$T$232,19,FALSE)</f>
        <v>22ZFL007146----R</v>
      </c>
      <c r="Q187" s="131"/>
      <c r="R187" s="95"/>
    </row>
    <row r="188" spans="1:18" s="94" customFormat="1" ht="20.25" customHeight="1" x14ac:dyDescent="0.2">
      <c r="A188" s="128" t="s">
        <v>173</v>
      </c>
      <c r="B188" s="129" t="s">
        <v>175</v>
      </c>
      <c r="C188" s="129" t="s">
        <v>174</v>
      </c>
      <c r="D188" s="129" t="s">
        <v>16</v>
      </c>
      <c r="E188" s="128" t="str">
        <f>VLOOKUP(A188:A415,[1]Coefficients!$A$5:$R$232,5,FALSE)</f>
        <v>route de Saint-Hubert</v>
      </c>
      <c r="F188" s="129">
        <f>VLOOKUP(A188:A415,[1]Coefficients!$A$5:$R$232,6,FALSE)</f>
        <v>75</v>
      </c>
      <c r="G188" s="129">
        <f>VLOOKUP(A188:A415,[1]Coefficients!$A$5:$R$232,7,FALSE)</f>
        <v>6800</v>
      </c>
      <c r="H188" s="128" t="str">
        <f>VLOOKUP(A188:A415,[1]Coefficients!$A$5:$R$232,8,FALSE)</f>
        <v>RECOGNE</v>
      </c>
      <c r="I188" s="128" t="s">
        <v>173</v>
      </c>
      <c r="J188" s="129" t="s">
        <v>172</v>
      </c>
      <c r="K188" s="128" t="s">
        <v>13</v>
      </c>
      <c r="L188" s="128" t="s">
        <v>6</v>
      </c>
      <c r="M188" s="128">
        <v>1</v>
      </c>
      <c r="N188" s="130">
        <v>0</v>
      </c>
      <c r="O188" s="128">
        <v>0</v>
      </c>
      <c r="P188" s="129" t="str">
        <f>VLOOKUP(A188:A415,[1]Coefficients!$A$5:$T$232,19,FALSE)</f>
        <v>22ZFL004787----9</v>
      </c>
      <c r="Q188" s="129"/>
      <c r="R188" s="95"/>
    </row>
    <row r="189" spans="1:18" s="94" customFormat="1" ht="20.25" customHeight="1" x14ac:dyDescent="0.2">
      <c r="A189" s="130" t="s">
        <v>169</v>
      </c>
      <c r="B189" s="131" t="s">
        <v>171</v>
      </c>
      <c r="C189" s="131" t="s">
        <v>170</v>
      </c>
      <c r="D189" s="131" t="s">
        <v>16</v>
      </c>
      <c r="E189" s="130" t="str">
        <f>VLOOKUP(A189:A416,[1]Coefficients!$A$5:$R$232,5,FALSE)</f>
        <v>Route Nationale</v>
      </c>
      <c r="F189" s="131">
        <f>VLOOKUP(A189:A416,[1]Coefficients!$A$5:$R$232,6,FALSE)</f>
        <v>5</v>
      </c>
      <c r="G189" s="131">
        <f>VLOOKUP(A189:A416,[1]Coefficients!$A$5:$R$232,7,FALSE)</f>
        <v>6041</v>
      </c>
      <c r="H189" s="130" t="str">
        <f>VLOOKUP(A189:A416,[1]Coefficients!$A$5:$R$232,8,FALSE)</f>
        <v>GOSSELIES</v>
      </c>
      <c r="I189" s="130" t="s">
        <v>169</v>
      </c>
      <c r="J189" s="131" t="s">
        <v>168</v>
      </c>
      <c r="K189" s="130" t="s">
        <v>13</v>
      </c>
      <c r="L189" s="130" t="s">
        <v>6</v>
      </c>
      <c r="M189" s="130">
        <v>1</v>
      </c>
      <c r="N189" s="130">
        <v>0</v>
      </c>
      <c r="O189" s="130">
        <v>0</v>
      </c>
      <c r="P189" s="131" t="str">
        <f>VLOOKUP(A189:A416,[1]Coefficients!$A$5:$T$232,19,FALSE)</f>
        <v>22ZFL551030----R</v>
      </c>
      <c r="Q189" s="131"/>
      <c r="R189" s="95"/>
    </row>
    <row r="190" spans="1:18" s="94" customFormat="1" ht="20.25" customHeight="1" x14ac:dyDescent="0.2">
      <c r="A190" s="128" t="s">
        <v>165</v>
      </c>
      <c r="B190" s="129" t="s">
        <v>167</v>
      </c>
      <c r="C190" s="129" t="s">
        <v>166</v>
      </c>
      <c r="D190" s="129" t="s">
        <v>16</v>
      </c>
      <c r="E190" s="128" t="str">
        <f>VLOOKUP(A190:A417,[1]Coefficients!$A$5:$R$232,5,FALSE)</f>
        <v>Avenue des Etats-Unis</v>
      </c>
      <c r="F190" s="129">
        <f>VLOOKUP(A190:A417,[1]Coefficients!$A$5:$R$232,6,FALSE)</f>
        <v>1</v>
      </c>
      <c r="G190" s="129">
        <f>VLOOKUP(A190:A417,[1]Coefficients!$A$5:$R$232,7,FALSE)</f>
        <v>6041</v>
      </c>
      <c r="H190" s="128" t="str">
        <f>VLOOKUP(A190:A417,[1]Coefficients!$A$5:$R$232,8,FALSE)</f>
        <v>GOSSELIES</v>
      </c>
      <c r="I190" s="128" t="s">
        <v>165</v>
      </c>
      <c r="J190" s="129" t="s">
        <v>164</v>
      </c>
      <c r="K190" s="128" t="s">
        <v>13</v>
      </c>
      <c r="L190" s="128" t="s">
        <v>6</v>
      </c>
      <c r="M190" s="128">
        <v>1</v>
      </c>
      <c r="N190" s="130">
        <v>0</v>
      </c>
      <c r="O190" s="128">
        <v>0</v>
      </c>
      <c r="P190" s="129" t="str">
        <f>VLOOKUP(A190:A417,[1]Coefficients!$A$5:$T$232,19,FALSE)</f>
        <v>22ZFL004752----N</v>
      </c>
      <c r="Q190" s="129"/>
      <c r="R190" s="95"/>
    </row>
    <row r="191" spans="1:18" s="94" customFormat="1" ht="20.25" customHeight="1" x14ac:dyDescent="0.2">
      <c r="A191" s="130" t="s">
        <v>161</v>
      </c>
      <c r="B191" s="131" t="s">
        <v>163</v>
      </c>
      <c r="C191" s="131" t="s">
        <v>162</v>
      </c>
      <c r="D191" s="131" t="s">
        <v>16</v>
      </c>
      <c r="E191" s="130" t="str">
        <f>VLOOKUP(A191:A418,[1]Coefficients!$A$5:$R$232,5,FALSE)</f>
        <v>Zoning Industriel - Avenue du Marquis</v>
      </c>
      <c r="F191" s="131">
        <f>VLOOKUP(A191:A418,[1]Coefficients!$A$5:$R$232,6,FALSE)</f>
        <v>4</v>
      </c>
      <c r="G191" s="131">
        <f>VLOOKUP(A191:A418,[1]Coefficients!$A$5:$R$232,7,FALSE)</f>
        <v>6220</v>
      </c>
      <c r="H191" s="130" t="str">
        <f>VLOOKUP(A191:A418,[1]Coefficients!$A$5:$R$232,8,FALSE)</f>
        <v>FLEURUS</v>
      </c>
      <c r="I191" s="130" t="s">
        <v>161</v>
      </c>
      <c r="J191" s="131" t="s">
        <v>160</v>
      </c>
      <c r="K191" s="130" t="s">
        <v>13</v>
      </c>
      <c r="L191" s="130" t="s">
        <v>6</v>
      </c>
      <c r="M191" s="130">
        <v>1</v>
      </c>
      <c r="N191" s="128">
        <v>1</v>
      </c>
      <c r="O191" s="130">
        <v>0</v>
      </c>
      <c r="P191" s="131" t="str">
        <f>VLOOKUP(A191:A418,[1]Coefficients!$A$5:$T$232,19,FALSE)</f>
        <v>22ZFL007135----3</v>
      </c>
      <c r="Q191" s="131"/>
      <c r="R191" s="95"/>
    </row>
    <row r="192" spans="1:18" s="94" customFormat="1" ht="20.25" customHeight="1" x14ac:dyDescent="0.2">
      <c r="A192" s="128" t="s">
        <v>157</v>
      </c>
      <c r="B192" s="129" t="s">
        <v>159</v>
      </c>
      <c r="C192" s="129" t="s">
        <v>158</v>
      </c>
      <c r="D192" s="129" t="s">
        <v>16</v>
      </c>
      <c r="E192" s="128" t="str">
        <f>VLOOKUP(A192:A419,[1]Coefficients!$A$5:$R$232,5,FALSE)</f>
        <v>Zoning Industriel de Burtonville</v>
      </c>
      <c r="F192" s="129" t="str">
        <f>VLOOKUP(A192:A419,[1]Coefficients!$A$5:$R$232,6,FALSE)</f>
        <v>z/n</v>
      </c>
      <c r="G192" s="129">
        <f>VLOOKUP(A192:A419,[1]Coefficients!$A$5:$R$232,7,FALSE)</f>
        <v>6690</v>
      </c>
      <c r="H192" s="128" t="str">
        <f>VLOOKUP(A192:A419,[1]Coefficients!$A$5:$R$232,8,FALSE)</f>
        <v>VIELSALM</v>
      </c>
      <c r="I192" s="128" t="s">
        <v>157</v>
      </c>
      <c r="J192" s="129" t="s">
        <v>156</v>
      </c>
      <c r="K192" s="128" t="s">
        <v>13</v>
      </c>
      <c r="L192" s="128" t="s">
        <v>6</v>
      </c>
      <c r="M192" s="128">
        <v>1</v>
      </c>
      <c r="N192" s="128">
        <v>1</v>
      </c>
      <c r="O192" s="128">
        <v>1</v>
      </c>
      <c r="P192" s="129" t="str">
        <f>VLOOKUP(A192:A419,[1]Coefficients!$A$5:$T$232,19,FALSE)</f>
        <v>22ZFL006008----N</v>
      </c>
      <c r="Q192" s="129"/>
      <c r="R192" s="95"/>
    </row>
    <row r="193" spans="1:18" s="94" customFormat="1" ht="20.25" customHeight="1" x14ac:dyDescent="0.2">
      <c r="A193" s="130" t="s">
        <v>155</v>
      </c>
      <c r="B193" s="131" t="s">
        <v>154</v>
      </c>
      <c r="C193" s="131" t="s">
        <v>153</v>
      </c>
      <c r="D193" s="131" t="s">
        <v>16</v>
      </c>
      <c r="E193" s="130" t="str">
        <f>VLOOKUP(A193:A420,[1]Coefficients!$A$5:$R$232,5,FALSE)</f>
        <v>Sint-Jansweg</v>
      </c>
      <c r="F193" s="131">
        <f>VLOOKUP(A193:A420,[1]Coefficients!$A$5:$R$232,6,FALSE)</f>
        <v>8</v>
      </c>
      <c r="G193" s="131">
        <f>VLOOKUP(A193:A420,[1]Coefficients!$A$5:$R$232,7,FALSE)</f>
        <v>9130</v>
      </c>
      <c r="H193" s="130" t="str">
        <f>VLOOKUP(A193:A420,[1]Coefficients!$A$5:$R$232,8,FALSE)</f>
        <v>KALLO</v>
      </c>
      <c r="I193" s="130" t="s">
        <v>152</v>
      </c>
      <c r="J193" s="131" t="s">
        <v>151</v>
      </c>
      <c r="K193" s="130" t="s">
        <v>13</v>
      </c>
      <c r="L193" s="130" t="s">
        <v>6</v>
      </c>
      <c r="M193" s="130">
        <v>1</v>
      </c>
      <c r="N193" s="130">
        <v>0</v>
      </c>
      <c r="O193" s="130">
        <v>0</v>
      </c>
      <c r="P193" s="131" t="str">
        <f>VLOOKUP(A193:A420,[1]Coefficients!$A$5:$T$232,19,FALSE)</f>
        <v>57ZFL007323----V</v>
      </c>
      <c r="Q193" s="131"/>
      <c r="R193" s="95"/>
    </row>
    <row r="194" spans="1:18" s="94" customFormat="1" ht="20.25" customHeight="1" x14ac:dyDescent="0.2">
      <c r="A194" s="130" t="s">
        <v>148</v>
      </c>
      <c r="B194" s="131" t="s">
        <v>150</v>
      </c>
      <c r="C194" s="131" t="s">
        <v>149</v>
      </c>
      <c r="D194" s="131" t="s">
        <v>16</v>
      </c>
      <c r="E194" s="130" t="str">
        <f>VLOOKUP(A194:A421,[1]Coefficients!$A$5:$R$232,5,FALSE)</f>
        <v>Wondelgemkaai</v>
      </c>
      <c r="F194" s="131">
        <f>VLOOKUP(A194:A421,[1]Coefficients!$A$5:$R$232,6,FALSE)</f>
        <v>200</v>
      </c>
      <c r="G194" s="131">
        <f>VLOOKUP(A194:A421,[1]Coefficients!$A$5:$R$232,7,FALSE)</f>
        <v>9000</v>
      </c>
      <c r="H194" s="130" t="str">
        <f>VLOOKUP(A194:A421,[1]Coefficients!$A$5:$R$232,8,FALSE)</f>
        <v>GENT</v>
      </c>
      <c r="I194" s="130" t="s">
        <v>148</v>
      </c>
      <c r="J194" s="131" t="s">
        <v>147</v>
      </c>
      <c r="K194" s="130" t="s">
        <v>13</v>
      </c>
      <c r="L194" s="130" t="s">
        <v>6</v>
      </c>
      <c r="M194" s="130">
        <v>1</v>
      </c>
      <c r="N194" s="130">
        <v>0</v>
      </c>
      <c r="O194" s="130">
        <v>0</v>
      </c>
      <c r="P194" s="131" t="str">
        <f>VLOOKUP(A194:A421,[1]Coefficients!$A$5:$T$232,19,FALSE)</f>
        <v>22ZFL425710----R</v>
      </c>
      <c r="Q194" s="131"/>
      <c r="R194" s="95"/>
    </row>
    <row r="195" spans="1:18" s="94" customFormat="1" ht="20.25" customHeight="1" x14ac:dyDescent="0.2">
      <c r="A195" s="128" t="s">
        <v>144</v>
      </c>
      <c r="B195" s="129" t="s">
        <v>146</v>
      </c>
      <c r="C195" s="129" t="s">
        <v>145</v>
      </c>
      <c r="D195" s="129" t="s">
        <v>16</v>
      </c>
      <c r="E195" s="128" t="str">
        <f>VLOOKUP(A195:A422,[1]Coefficients!$A$5:$R$232,5,FALSE)</f>
        <v>hoek Geerard v Daelelaan en Gotborgstraat</v>
      </c>
      <c r="F195" s="129" t="str">
        <f>VLOOKUP(A195:A422,[1]Coefficients!$A$5:$R$232,6,FALSE)</f>
        <v>z/n</v>
      </c>
      <c r="G195" s="129">
        <f>VLOOKUP(A195:A422,[1]Coefficients!$A$5:$R$232,7,FALSE)</f>
        <v>9000</v>
      </c>
      <c r="H195" s="128" t="str">
        <f>VLOOKUP(A195:A422,[1]Coefficients!$A$5:$R$232,8,FALSE)</f>
        <v>GENT</v>
      </c>
      <c r="I195" s="128" t="s">
        <v>144</v>
      </c>
      <c r="J195" s="129" t="s">
        <v>143</v>
      </c>
      <c r="K195" s="128" t="s">
        <v>13</v>
      </c>
      <c r="L195" s="128" t="s">
        <v>6</v>
      </c>
      <c r="M195" s="128">
        <v>1</v>
      </c>
      <c r="N195" s="128">
        <v>1</v>
      </c>
      <c r="O195" s="128">
        <v>1</v>
      </c>
      <c r="P195" s="129" t="str">
        <f>VLOOKUP(A195:A422,[1]Coefficients!$A$5:$T$232,19,FALSE)</f>
        <v>22ZFL425270----P</v>
      </c>
      <c r="Q195" s="129"/>
      <c r="R195" s="95"/>
    </row>
    <row r="196" spans="1:18" s="94" customFormat="1" ht="20.25" customHeight="1" x14ac:dyDescent="0.2">
      <c r="A196" s="130" t="s">
        <v>140</v>
      </c>
      <c r="B196" s="131" t="s">
        <v>142</v>
      </c>
      <c r="C196" s="131" t="s">
        <v>141</v>
      </c>
      <c r="D196" s="131" t="s">
        <v>16</v>
      </c>
      <c r="E196" s="130" t="str">
        <f>VLOOKUP(A196:A423,[1]Coefficients!$A$5:$R$232,5,FALSE)</f>
        <v>Etabl. de Wanze - Chemin de Meuse</v>
      </c>
      <c r="F196" s="131">
        <f>VLOOKUP(A196:A423,[1]Coefficients!$A$5:$R$232,6,FALSE)</f>
        <v>9</v>
      </c>
      <c r="G196" s="131">
        <f>VLOOKUP(A196:A423,[1]Coefficients!$A$5:$R$232,7,FALSE)</f>
        <v>4520</v>
      </c>
      <c r="H196" s="130" t="str">
        <f>VLOOKUP(A196:A423,[1]Coefficients!$A$5:$R$232,8,FALSE)</f>
        <v>WANZE</v>
      </c>
      <c r="I196" s="130" t="s">
        <v>140</v>
      </c>
      <c r="J196" s="131" t="s">
        <v>139</v>
      </c>
      <c r="K196" s="130" t="s">
        <v>13</v>
      </c>
      <c r="L196" s="130" t="s">
        <v>6</v>
      </c>
      <c r="M196" s="130">
        <v>1</v>
      </c>
      <c r="N196" s="128">
        <v>1</v>
      </c>
      <c r="O196" s="130">
        <v>1</v>
      </c>
      <c r="P196" s="131" t="str">
        <f>VLOOKUP(A196:A423,[1]Coefficients!$A$5:$T$232,19,FALSE)</f>
        <v>22ZFL004679----C</v>
      </c>
      <c r="Q196" s="131"/>
      <c r="R196" s="95"/>
    </row>
    <row r="197" spans="1:18" s="94" customFormat="1" ht="20.25" customHeight="1" x14ac:dyDescent="0.2">
      <c r="A197" s="128" t="s">
        <v>136</v>
      </c>
      <c r="B197" s="129" t="s">
        <v>138</v>
      </c>
      <c r="C197" s="129" t="s">
        <v>137</v>
      </c>
      <c r="D197" s="129" t="s">
        <v>16</v>
      </c>
      <c r="E197" s="128" t="str">
        <f>VLOOKUP(A197:A424,[1]Coefficients!$A$5:$R$232,5,FALSE)</f>
        <v>Genk Zuid, Zone 12B - Henry Fordlaan</v>
      </c>
      <c r="F197" s="129">
        <f>VLOOKUP(A197:A424,[1]Coefficients!$A$5:$R$232,6,FALSE)</f>
        <v>80</v>
      </c>
      <c r="G197" s="129">
        <f>VLOOKUP(A197:A424,[1]Coefficients!$A$5:$R$232,7,FALSE)</f>
        <v>3600</v>
      </c>
      <c r="H197" s="128" t="str">
        <f>VLOOKUP(A197:A424,[1]Coefficients!$A$5:$R$232,8,FALSE)</f>
        <v>GENK</v>
      </c>
      <c r="I197" s="128" t="s">
        <v>136</v>
      </c>
      <c r="J197" s="129" t="s">
        <v>135</v>
      </c>
      <c r="K197" s="128" t="s">
        <v>13</v>
      </c>
      <c r="L197" s="128" t="s">
        <v>6</v>
      </c>
      <c r="M197" s="128">
        <v>1</v>
      </c>
      <c r="N197" s="128">
        <v>1</v>
      </c>
      <c r="O197" s="128">
        <v>0</v>
      </c>
      <c r="P197" s="129" t="str">
        <f>VLOOKUP(A197:A424,[1]Coefficients!$A$5:$T$232,19,FALSE)</f>
        <v>22ZFL130650----1</v>
      </c>
      <c r="Q197" s="129"/>
      <c r="R197" s="95"/>
    </row>
    <row r="198" spans="1:18" s="94" customFormat="1" ht="20.25" customHeight="1" x14ac:dyDescent="0.2">
      <c r="A198" s="130" t="s">
        <v>132</v>
      </c>
      <c r="B198" s="131" t="s">
        <v>134</v>
      </c>
      <c r="C198" s="131" t="s">
        <v>133</v>
      </c>
      <c r="D198" s="131" t="s">
        <v>16</v>
      </c>
      <c r="E198" s="130" t="str">
        <f>VLOOKUP(A198:A425,[1]Coefficients!$A$5:$R$232,5,FALSE)</f>
        <v>Industriepark</v>
      </c>
      <c r="F198" s="131">
        <f>VLOOKUP(A198:A425,[1]Coefficients!$A$5:$R$232,6,FALSE)</f>
        <v>13</v>
      </c>
      <c r="G198" s="131">
        <f>VLOOKUP(A198:A425,[1]Coefficients!$A$5:$R$232,7,FALSE)</f>
        <v>3300</v>
      </c>
      <c r="H198" s="130" t="str">
        <f>VLOOKUP(A198:A425,[1]Coefficients!$A$5:$R$232,8,FALSE)</f>
        <v>TIENEN</v>
      </c>
      <c r="I198" s="130" t="s">
        <v>132</v>
      </c>
      <c r="J198" s="131" t="s">
        <v>131</v>
      </c>
      <c r="K198" s="130" t="s">
        <v>13</v>
      </c>
      <c r="L198" s="130" t="s">
        <v>19</v>
      </c>
      <c r="M198" s="130">
        <v>1</v>
      </c>
      <c r="N198" s="128">
        <v>1</v>
      </c>
      <c r="O198" s="130">
        <v>1</v>
      </c>
      <c r="P198" s="131" t="str">
        <f>VLOOKUP(A198:A425,[1]Coefficients!$A$5:$T$232,19,FALSE)</f>
        <v>22ZFL311510----Q</v>
      </c>
      <c r="Q198" s="131"/>
      <c r="R198" s="95"/>
    </row>
    <row r="199" spans="1:18" s="94" customFormat="1" ht="20.25" customHeight="1" x14ac:dyDescent="0.2">
      <c r="A199" s="128" t="s">
        <v>128</v>
      </c>
      <c r="B199" s="129" t="s">
        <v>130</v>
      </c>
      <c r="C199" s="129" t="s">
        <v>129</v>
      </c>
      <c r="D199" s="129" t="s">
        <v>16</v>
      </c>
      <c r="E199" s="128" t="str">
        <f>VLOOKUP(A199:A426,[1]Coefficients!$A$5:$R$232,5,FALSE)</f>
        <v>rue de Tyberchamps</v>
      </c>
      <c r="F199" s="129">
        <f>VLOOKUP(A199:A426,[1]Coefficients!$A$5:$R$232,6,FALSE)</f>
        <v>37</v>
      </c>
      <c r="G199" s="129">
        <f>VLOOKUP(A199:A426,[1]Coefficients!$A$5:$R$232,7,FALSE)</f>
        <v>7180</v>
      </c>
      <c r="H199" s="128" t="str">
        <f>VLOOKUP(A199:A426,[1]Coefficients!$A$5:$R$232,8,FALSE)</f>
        <v>SENEFFE</v>
      </c>
      <c r="I199" s="128" t="s">
        <v>128</v>
      </c>
      <c r="J199" s="129" t="s">
        <v>127</v>
      </c>
      <c r="K199" s="128" t="s">
        <v>13</v>
      </c>
      <c r="L199" s="128" t="s">
        <v>6</v>
      </c>
      <c r="M199" s="128">
        <v>1</v>
      </c>
      <c r="N199" s="130">
        <v>0</v>
      </c>
      <c r="O199" s="128">
        <v>0</v>
      </c>
      <c r="P199" s="129" t="str">
        <f>VLOOKUP(A199:A426,[1]Coefficients!$A$5:$T$232,19,FALSE)</f>
        <v>22ZFL55730-----D</v>
      </c>
      <c r="Q199" s="129"/>
      <c r="R199" s="95"/>
    </row>
    <row r="200" spans="1:18" s="94" customFormat="1" ht="20.25" customHeight="1" x14ac:dyDescent="0.2">
      <c r="A200" s="128" t="s">
        <v>124</v>
      </c>
      <c r="B200" s="129" t="s">
        <v>126</v>
      </c>
      <c r="C200" s="129" t="s">
        <v>125</v>
      </c>
      <c r="D200" s="129" t="s">
        <v>16</v>
      </c>
      <c r="E200" s="128" t="str">
        <f>VLOOKUP(A200:A427,[1]Coefficients!$A$5:$R$232,5,FALSE)</f>
        <v>Pantserschipstraat</v>
      </c>
      <c r="F200" s="129">
        <f>VLOOKUP(A200:A427,[1]Coefficients!$A$5:$R$232,6,FALSE)</f>
        <v>207</v>
      </c>
      <c r="G200" s="129">
        <f>VLOOKUP(A200:A427,[1]Coefficients!$A$5:$R$232,7,FALSE)</f>
        <v>9000</v>
      </c>
      <c r="H200" s="128" t="str">
        <f>VLOOKUP(A200:A427,[1]Coefficients!$A$5:$R$232,8,FALSE)</f>
        <v>GENT</v>
      </c>
      <c r="I200" s="128" t="s">
        <v>124</v>
      </c>
      <c r="J200" s="129" t="s">
        <v>123</v>
      </c>
      <c r="K200" s="128" t="s">
        <v>13</v>
      </c>
      <c r="L200" s="128" t="s">
        <v>6</v>
      </c>
      <c r="M200" s="128">
        <v>1</v>
      </c>
      <c r="N200" s="130">
        <v>0</v>
      </c>
      <c r="O200" s="128">
        <v>1</v>
      </c>
      <c r="P200" s="129" t="str">
        <f>VLOOKUP(A200:A427,[1]Coefficients!$A$5:$T$232,19,FALSE)</f>
        <v>22ZFL005902----X</v>
      </c>
      <c r="Q200" s="129"/>
      <c r="R200" s="95"/>
    </row>
    <row r="201" spans="1:18" s="94" customFormat="1" ht="20.25" customHeight="1" x14ac:dyDescent="0.2">
      <c r="A201" s="130" t="s">
        <v>1052</v>
      </c>
      <c r="B201" s="131" t="s">
        <v>122</v>
      </c>
      <c r="C201" s="131" t="s">
        <v>121</v>
      </c>
      <c r="D201" s="131" t="s">
        <v>16</v>
      </c>
      <c r="E201" s="130" t="str">
        <f>VLOOKUP(A201:A428,[1]Coefficients!$A$5:$R$232,5,FALSE)</f>
        <v xml:space="preserve">Burchtstraat </v>
      </c>
      <c r="F201" s="131">
        <f>VLOOKUP(A201:A428,[1]Coefficients!$A$5:$R$232,6,FALSE)</f>
        <v>10</v>
      </c>
      <c r="G201" s="131">
        <f>VLOOKUP(A201:A428,[1]Coefficients!$A$5:$R$232,7,FALSE)</f>
        <v>9300</v>
      </c>
      <c r="H201" s="130" t="str">
        <f>VLOOKUP(A201:A428,[1]Coefficients!$A$5:$R$232,8,FALSE)</f>
        <v>AALST</v>
      </c>
      <c r="I201" s="130" t="s">
        <v>120</v>
      </c>
      <c r="J201" s="131" t="s">
        <v>119</v>
      </c>
      <c r="K201" s="130" t="s">
        <v>7</v>
      </c>
      <c r="L201" s="130" t="s">
        <v>6</v>
      </c>
      <c r="M201" s="130">
        <v>1</v>
      </c>
      <c r="N201" s="130">
        <v>0</v>
      </c>
      <c r="O201" s="130">
        <v>0</v>
      </c>
      <c r="P201" s="131" t="str">
        <f>VLOOKUP(A201:A428,[1]Coefficients!$A$5:$T$232,19,FALSE)</f>
        <v>22ZFL004818----7</v>
      </c>
      <c r="Q201" s="131"/>
      <c r="R201" s="95"/>
    </row>
    <row r="202" spans="1:18" s="94" customFormat="1" ht="20.25" customHeight="1" x14ac:dyDescent="0.2">
      <c r="A202" s="128" t="s">
        <v>1053</v>
      </c>
      <c r="B202" s="129" t="s">
        <v>1054</v>
      </c>
      <c r="C202" s="129" t="s">
        <v>1055</v>
      </c>
      <c r="D202" s="129" t="s">
        <v>16</v>
      </c>
      <c r="E202" s="128" t="str">
        <f>VLOOKUP(A202:A429,[1]Coefficients!$A$5:$R$232,5,FALSE)</f>
        <v>Bergstraat</v>
      </c>
      <c r="F202" s="129">
        <f>VLOOKUP(A202:A429,[1]Coefficients!$A$5:$R$232,6,FALSE)</f>
        <v>32</v>
      </c>
      <c r="G202" s="129">
        <f>VLOOKUP(A202:A429,[1]Coefficients!$A$5:$R$232,7,FALSE)</f>
        <v>3945</v>
      </c>
      <c r="H202" s="128" t="str">
        <f>VLOOKUP(A202:A429,[1]Coefficients!$A$5:$R$232,8,FALSE)</f>
        <v>HAM</v>
      </c>
      <c r="I202" s="128" t="s">
        <v>1053</v>
      </c>
      <c r="J202" s="129" t="s">
        <v>1056</v>
      </c>
      <c r="K202" s="128" t="s">
        <v>13</v>
      </c>
      <c r="L202" s="128" t="s">
        <v>6</v>
      </c>
      <c r="M202" s="128">
        <v>1</v>
      </c>
      <c r="N202" s="130">
        <v>0</v>
      </c>
      <c r="O202" s="128">
        <v>0</v>
      </c>
      <c r="P202" s="129" t="str">
        <f>VLOOKUP(A202:A429,[1]Coefficients!$A$5:$T$232,19,FALSE)</f>
        <v>57ZFL007185----U</v>
      </c>
      <c r="Q202" s="129"/>
      <c r="R202" s="95"/>
    </row>
    <row r="203" spans="1:18" s="94" customFormat="1" ht="20.25" customHeight="1" x14ac:dyDescent="0.2">
      <c r="A203" s="130" t="s">
        <v>116</v>
      </c>
      <c r="B203" s="131" t="s">
        <v>118</v>
      </c>
      <c r="C203" s="131" t="s">
        <v>117</v>
      </c>
      <c r="D203" s="131" t="s">
        <v>16</v>
      </c>
      <c r="E203" s="130" t="str">
        <f>VLOOKUP(A203:A430,[1]Coefficients!$A$5:$R$232,5,FALSE)</f>
        <v>Marius Duchéstraat</v>
      </c>
      <c r="F203" s="131">
        <f>VLOOKUP(A203:A430,[1]Coefficients!$A$5:$R$232,6,FALSE)</f>
        <v>260</v>
      </c>
      <c r="G203" s="131">
        <f>VLOOKUP(A203:A430,[1]Coefficients!$A$5:$R$232,7,FALSE)</f>
        <v>1800</v>
      </c>
      <c r="H203" s="130" t="str">
        <f>VLOOKUP(A203:A430,[1]Coefficients!$A$5:$R$232,8,FALSE)</f>
        <v>VILVOORDE</v>
      </c>
      <c r="I203" s="130" t="s">
        <v>116</v>
      </c>
      <c r="J203" s="131" t="s">
        <v>115</v>
      </c>
      <c r="K203" s="130" t="s">
        <v>13</v>
      </c>
      <c r="L203" s="130" t="s">
        <v>19</v>
      </c>
      <c r="M203" s="130">
        <v>1</v>
      </c>
      <c r="N203" s="128">
        <v>1</v>
      </c>
      <c r="O203" s="130">
        <v>1</v>
      </c>
      <c r="P203" s="131" t="str">
        <f>VLOOKUP(A203:A430,[1]Coefficients!$A$5:$T$232,19,FALSE)</f>
        <v>22ZFL322710----S</v>
      </c>
      <c r="Q203" s="131"/>
      <c r="R203" s="95"/>
    </row>
    <row r="204" spans="1:18" s="94" customFormat="1" ht="20.25" customHeight="1" x14ac:dyDescent="0.2">
      <c r="A204" s="128" t="s">
        <v>112</v>
      </c>
      <c r="B204" s="129" t="s">
        <v>114</v>
      </c>
      <c r="C204" s="129" t="s">
        <v>113</v>
      </c>
      <c r="D204" s="129" t="s">
        <v>16</v>
      </c>
      <c r="E204" s="128" t="str">
        <f>VLOOKUP(A204:A431,[1]Coefficients!$A$5:$R$232,5,FALSE)</f>
        <v>Rue de l'Acier</v>
      </c>
      <c r="F204" s="129">
        <f>VLOOKUP(A204:A431,[1]Coefficients!$A$5:$R$232,6,FALSE)</f>
        <v>1</v>
      </c>
      <c r="G204" s="129">
        <f>VLOOKUP(A204:A431,[1]Coefficients!$A$5:$R$232,7,FALSE)</f>
        <v>6000</v>
      </c>
      <c r="H204" s="128" t="str">
        <f>VLOOKUP(A204:A431,[1]Coefficients!$A$5:$R$232,8,FALSE)</f>
        <v>CHARLEROI</v>
      </c>
      <c r="I204" s="128" t="s">
        <v>112</v>
      </c>
      <c r="J204" s="129" t="s">
        <v>111</v>
      </c>
      <c r="K204" s="128" t="s">
        <v>13</v>
      </c>
      <c r="L204" s="128" t="s">
        <v>6</v>
      </c>
      <c r="M204" s="128">
        <v>1</v>
      </c>
      <c r="N204" s="128">
        <v>1</v>
      </c>
      <c r="O204" s="128">
        <v>1</v>
      </c>
      <c r="P204" s="129" t="str">
        <f>VLOOKUP(A204:A431,[1]Coefficients!$A$5:$T$232,19,FALSE)</f>
        <v>22ZFL004875----K</v>
      </c>
      <c r="Q204" s="129"/>
      <c r="R204" s="95"/>
    </row>
    <row r="205" spans="1:18" s="94" customFormat="1" ht="20.25" customHeight="1" x14ac:dyDescent="0.2">
      <c r="A205" s="130" t="s">
        <v>108</v>
      </c>
      <c r="B205" s="131" t="s">
        <v>110</v>
      </c>
      <c r="C205" s="131" t="s">
        <v>109</v>
      </c>
      <c r="D205" s="131" t="s">
        <v>16</v>
      </c>
      <c r="E205" s="130" t="str">
        <f>VLOOKUP(A205:A432,[1]Coefficients!$A$5:$R$232,5,FALSE)</f>
        <v>Charleroi 1 - BP 1002</v>
      </c>
      <c r="F205" s="131" t="str">
        <f>VLOOKUP(A205:A432,[1]Coefficients!$A$5:$R$232,6,FALSE)</f>
        <v>z/n</v>
      </c>
      <c r="G205" s="131">
        <f>VLOOKUP(A205:A432,[1]Coefficients!$A$5:$R$232,7,FALSE)</f>
        <v>6000</v>
      </c>
      <c r="H205" s="130" t="str">
        <f>VLOOKUP(A205:A432,[1]Coefficients!$A$5:$R$232,8,FALSE)</f>
        <v>CHARLEROI</v>
      </c>
      <c r="I205" s="130" t="s">
        <v>108</v>
      </c>
      <c r="J205" s="131" t="s">
        <v>107</v>
      </c>
      <c r="K205" s="130" t="s">
        <v>13</v>
      </c>
      <c r="L205" s="130" t="s">
        <v>6</v>
      </c>
      <c r="M205" s="130">
        <v>1</v>
      </c>
      <c r="N205" s="128">
        <v>1</v>
      </c>
      <c r="O205" s="130">
        <v>1</v>
      </c>
      <c r="P205" s="131" t="str">
        <f>VLOOKUP(A205:A432,[1]Coefficients!$A$5:$T$232,19,FALSE)</f>
        <v>22ZFL004873----W</v>
      </c>
      <c r="Q205" s="131"/>
      <c r="R205" s="95"/>
    </row>
    <row r="206" spans="1:18" s="94" customFormat="1" ht="20.25" customHeight="1" x14ac:dyDescent="0.2">
      <c r="A206" s="128" t="s">
        <v>104</v>
      </c>
      <c r="B206" s="129" t="s">
        <v>106</v>
      </c>
      <c r="C206" s="129" t="s">
        <v>105</v>
      </c>
      <c r="D206" s="129" t="s">
        <v>16</v>
      </c>
      <c r="E206" s="128" t="str">
        <f>VLOOKUP(A206:A433,[1]Coefficients!$A$5:$R$232,5,FALSE)</f>
        <v>Au Wérihet</v>
      </c>
      <c r="F206" s="129">
        <f>VLOOKUP(A206:A433,[1]Coefficients!$A$5:$R$232,6,FALSE)</f>
        <v>55</v>
      </c>
      <c r="G206" s="129">
        <f>VLOOKUP(A206:A433,[1]Coefficients!$A$5:$R$232,7,FALSE)</f>
        <v>4020</v>
      </c>
      <c r="H206" s="128" t="str">
        <f>VLOOKUP(A206:A433,[1]Coefficients!$A$5:$R$232,8,FALSE)</f>
        <v>WANDRE-LIEGE</v>
      </c>
      <c r="I206" s="128" t="s">
        <v>104</v>
      </c>
      <c r="J206" s="129" t="s">
        <v>103</v>
      </c>
      <c r="K206" s="128" t="s">
        <v>13</v>
      </c>
      <c r="L206" s="128" t="s">
        <v>6</v>
      </c>
      <c r="M206" s="128">
        <v>1</v>
      </c>
      <c r="N206" s="130">
        <v>0</v>
      </c>
      <c r="O206" s="128">
        <v>0</v>
      </c>
      <c r="P206" s="129" t="str">
        <f>VLOOKUP(A206:A433,[1]Coefficients!$A$5:$T$232,19,FALSE)</f>
        <v>22ZFL005298----R</v>
      </c>
      <c r="Q206" s="129"/>
      <c r="R206" s="95"/>
    </row>
    <row r="207" spans="1:18" s="94" customFormat="1" ht="20.25" customHeight="1" x14ac:dyDescent="0.2">
      <c r="A207" s="130" t="s">
        <v>100</v>
      </c>
      <c r="B207" s="131" t="s">
        <v>102</v>
      </c>
      <c r="C207" s="131" t="s">
        <v>101</v>
      </c>
      <c r="D207" s="131" t="s">
        <v>16</v>
      </c>
      <c r="E207" s="130" t="str">
        <f>VLOOKUP(A207:A434,[1]Coefficients!$A$5:$R$232,5,FALSE)</f>
        <v>Vinckenboschvest</v>
      </c>
      <c r="F207" s="131">
        <f>VLOOKUP(A207:A434,[1]Coefficients!$A$5:$R$232,6,FALSE)</f>
        <v>1</v>
      </c>
      <c r="G207" s="131">
        <f>VLOOKUP(A207:A434,[1]Coefficients!$A$5:$R$232,7,FALSE)</f>
        <v>3300</v>
      </c>
      <c r="H207" s="130" t="str">
        <f>VLOOKUP(A207:A434,[1]Coefficients!$A$5:$R$232,8,FALSE)</f>
        <v>TIENEN</v>
      </c>
      <c r="I207" s="130" t="s">
        <v>100</v>
      </c>
      <c r="J207" s="131" t="s">
        <v>99</v>
      </c>
      <c r="K207" s="130" t="s">
        <v>13</v>
      </c>
      <c r="L207" s="130" t="s">
        <v>19</v>
      </c>
      <c r="M207" s="130">
        <v>1</v>
      </c>
      <c r="N207" s="130">
        <v>0</v>
      </c>
      <c r="O207" s="130">
        <v>0</v>
      </c>
      <c r="P207" s="131" t="str">
        <f>VLOOKUP(A207:A434,[1]Coefficients!$A$5:$T$232,19,FALSE)</f>
        <v>22ZFL004724----W</v>
      </c>
      <c r="Q207" s="131"/>
      <c r="R207" s="95"/>
    </row>
    <row r="208" spans="1:18" s="94" customFormat="1" ht="20.25" customHeight="1" x14ac:dyDescent="0.2">
      <c r="A208" s="128" t="s">
        <v>96</v>
      </c>
      <c r="B208" s="129" t="s">
        <v>98</v>
      </c>
      <c r="C208" s="129" t="s">
        <v>97</v>
      </c>
      <c r="D208" s="129" t="s">
        <v>16</v>
      </c>
      <c r="E208" s="128" t="str">
        <f>VLOOKUP(A208:A435,[1]Coefficients!$A$5:$R$232,5,FALSE)</f>
        <v>rue de la Jonction</v>
      </c>
      <c r="F208" s="129">
        <f>VLOOKUP(A208:A435,[1]Coefficients!$A$5:$R$232,6,FALSE)</f>
        <v>4</v>
      </c>
      <c r="G208" s="129">
        <f>VLOOKUP(A208:A435,[1]Coefficients!$A$5:$R$232,7,FALSE)</f>
        <v>6030</v>
      </c>
      <c r="H208" s="128" t="str">
        <f>VLOOKUP(A208:A435,[1]Coefficients!$A$5:$R$232,8,FALSE)</f>
        <v>MARCHIENNE-AU-PONT</v>
      </c>
      <c r="I208" s="128" t="s">
        <v>96</v>
      </c>
      <c r="J208" s="129" t="s">
        <v>95</v>
      </c>
      <c r="K208" s="128" t="s">
        <v>13</v>
      </c>
      <c r="L208" s="128" t="s">
        <v>6</v>
      </c>
      <c r="M208" s="128">
        <v>1</v>
      </c>
      <c r="N208" s="128">
        <v>1</v>
      </c>
      <c r="O208" s="128">
        <v>1</v>
      </c>
      <c r="P208" s="129" t="str">
        <f>VLOOKUP(A208:A435,[1]Coefficients!$A$5:$T$232,19,FALSE)</f>
        <v>22ZFL551590----J</v>
      </c>
      <c r="Q208" s="129"/>
      <c r="R208" s="95"/>
    </row>
    <row r="209" spans="1:18" s="94" customFormat="1" ht="20.25" customHeight="1" x14ac:dyDescent="0.2">
      <c r="A209" s="130" t="s">
        <v>91</v>
      </c>
      <c r="B209" s="131" t="s">
        <v>94</v>
      </c>
      <c r="C209" s="131" t="s">
        <v>93</v>
      </c>
      <c r="D209" s="131" t="s">
        <v>16</v>
      </c>
      <c r="E209" s="130" t="str">
        <f>VLOOKUP(A209:A436,[1]Coefficients!$A$5:$R$232,5,FALSE)</f>
        <v>Hogewatergangweg</v>
      </c>
      <c r="F209" s="131">
        <f>VLOOKUP(A209:A436,[1]Coefficients!$A$5:$R$232,6,FALSE)</f>
        <v>1</v>
      </c>
      <c r="G209" s="131">
        <f>VLOOKUP(A209:A436,[1]Coefficients!$A$5:$R$232,7,FALSE)</f>
        <v>9170</v>
      </c>
      <c r="H209" s="130" t="str">
        <f>VLOOKUP(A209:A436,[1]Coefficients!$A$5:$R$232,8,FALSE)</f>
        <v>SINT-GILLIS-WAAS</v>
      </c>
      <c r="I209" s="130" t="s">
        <v>91</v>
      </c>
      <c r="J209" s="131" t="s">
        <v>90</v>
      </c>
      <c r="K209" s="130" t="s">
        <v>13</v>
      </c>
      <c r="L209" s="130" t="s">
        <v>6</v>
      </c>
      <c r="M209" s="130">
        <v>1</v>
      </c>
      <c r="N209" s="130">
        <v>0</v>
      </c>
      <c r="O209" s="130">
        <v>0</v>
      </c>
      <c r="P209" s="131" t="str">
        <f>VLOOKUP(A209:A436,[1]Coefficients!$A$5:$T$232,19,FALSE)</f>
        <v>22ZFL005957----5</v>
      </c>
      <c r="Q209" s="131"/>
      <c r="R209" s="95"/>
    </row>
    <row r="210" spans="1:18" s="94" customFormat="1" ht="20.25" customHeight="1" x14ac:dyDescent="0.2">
      <c r="A210" s="128" t="s">
        <v>87</v>
      </c>
      <c r="B210" s="129" t="s">
        <v>89</v>
      </c>
      <c r="C210" s="129" t="s">
        <v>88</v>
      </c>
      <c r="D210" s="129" t="s">
        <v>16</v>
      </c>
      <c r="E210" s="128" t="str">
        <f>VLOOKUP(A210:A437,[1]Coefficients!$A$5:$R$232,5,FALSE)</f>
        <v>Scheldelaan</v>
      </c>
      <c r="F210" s="129">
        <f>VLOOKUP(A210:A437,[1]Coefficients!$A$5:$R$232,6,FALSE)</f>
        <v>10</v>
      </c>
      <c r="G210" s="129">
        <f>VLOOKUP(A210:A437,[1]Coefficients!$A$5:$R$232,7,FALSE)</f>
        <v>2030</v>
      </c>
      <c r="H210" s="128" t="str">
        <f>VLOOKUP(A210:A437,[1]Coefficients!$A$5:$R$232,8,FALSE)</f>
        <v>ANTWERPEN</v>
      </c>
      <c r="I210" s="128" t="s">
        <v>87</v>
      </c>
      <c r="J210" s="129" t="s">
        <v>86</v>
      </c>
      <c r="K210" s="128" t="s">
        <v>13</v>
      </c>
      <c r="L210" s="128" t="s">
        <v>6</v>
      </c>
      <c r="M210" s="128">
        <v>1</v>
      </c>
      <c r="N210" s="128">
        <v>1</v>
      </c>
      <c r="O210" s="128">
        <v>0</v>
      </c>
      <c r="P210" s="129" t="str">
        <f>VLOOKUP(A210:A437,[1]Coefficients!$A$5:$T$232,19,FALSE)</f>
        <v>22ZFL004720----J</v>
      </c>
      <c r="Q210" s="129"/>
      <c r="R210" s="95"/>
    </row>
    <row r="211" spans="1:18" s="94" customFormat="1" ht="20.25" customHeight="1" x14ac:dyDescent="0.2">
      <c r="A211" s="130" t="s">
        <v>83</v>
      </c>
      <c r="B211" s="131" t="s">
        <v>85</v>
      </c>
      <c r="C211" s="131" t="s">
        <v>84</v>
      </c>
      <c r="D211" s="131" t="s">
        <v>16</v>
      </c>
      <c r="E211" s="130" t="str">
        <f>VLOOKUP(A211:A438,[1]Coefficients!$A$5:$R$232,5,FALSE)</f>
        <v>Haven 1023 - Scheldedijk</v>
      </c>
      <c r="F211" s="131">
        <f>VLOOKUP(A211:A438,[1]Coefficients!$A$5:$R$232,6,FALSE)</f>
        <v>10</v>
      </c>
      <c r="G211" s="131">
        <f>VLOOKUP(A211:A438,[1]Coefficients!$A$5:$R$232,7,FALSE)</f>
        <v>2070</v>
      </c>
      <c r="H211" s="130" t="str">
        <f>VLOOKUP(A211:A438,[1]Coefficients!$A$5:$R$232,8,FALSE)</f>
        <v>ZWIJNDRECHT</v>
      </c>
      <c r="I211" s="130" t="s">
        <v>83</v>
      </c>
      <c r="J211" s="131" t="s">
        <v>82</v>
      </c>
      <c r="K211" s="130" t="s">
        <v>13</v>
      </c>
      <c r="L211" s="130" t="s">
        <v>6</v>
      </c>
      <c r="M211" s="130">
        <v>1</v>
      </c>
      <c r="N211" s="130">
        <v>0</v>
      </c>
      <c r="O211" s="130">
        <v>0</v>
      </c>
      <c r="P211" s="131" t="str">
        <f>VLOOKUP(A211:A438,[1]Coefficients!$A$5:$T$232,19,FALSE)</f>
        <v>22ZFL213290----O</v>
      </c>
      <c r="Q211" s="131"/>
      <c r="R211" s="95"/>
    </row>
    <row r="212" spans="1:18" s="94" customFormat="1" ht="20.25" customHeight="1" x14ac:dyDescent="0.2">
      <c r="A212" s="128" t="s">
        <v>79</v>
      </c>
      <c r="B212" s="129" t="s">
        <v>81</v>
      </c>
      <c r="C212" s="129" t="s">
        <v>80</v>
      </c>
      <c r="D212" s="129" t="s">
        <v>16</v>
      </c>
      <c r="E212" s="128" t="str">
        <f>VLOOKUP(A212:A439,[1]Coefficients!$A$5:$R$232,5,FALSE)</f>
        <v>Zoning Industriel- Zone C</v>
      </c>
      <c r="F212" s="129" t="str">
        <f>VLOOKUP(A212:A439,[1]Coefficients!$A$5:$R$232,6,FALSE)</f>
        <v>z/n</v>
      </c>
      <c r="G212" s="129">
        <f>VLOOKUP(A212:A439,[1]Coefficients!$A$5:$R$232,7,FALSE)</f>
        <v>7181</v>
      </c>
      <c r="H212" s="128" t="str">
        <f>VLOOKUP(A212:A439,[1]Coefficients!$A$5:$R$232,8,FALSE)</f>
        <v>FELUY</v>
      </c>
      <c r="I212" s="128" t="s">
        <v>79</v>
      </c>
      <c r="J212" s="129" t="s">
        <v>78</v>
      </c>
      <c r="K212" s="128" t="s">
        <v>13</v>
      </c>
      <c r="L212" s="128" t="s">
        <v>6</v>
      </c>
      <c r="M212" s="128">
        <v>1</v>
      </c>
      <c r="N212" s="130">
        <v>0</v>
      </c>
      <c r="O212" s="128">
        <v>0</v>
      </c>
      <c r="P212" s="129" t="str">
        <f>VLOOKUP(A212:A439,[1]Coefficients!$A$5:$T$232,19,FALSE)</f>
        <v>22ZFL004761----M</v>
      </c>
      <c r="Q212" s="129"/>
      <c r="R212" s="95"/>
    </row>
    <row r="213" spans="1:18" s="94" customFormat="1" ht="20.25" customHeight="1" x14ac:dyDescent="0.2">
      <c r="A213" s="130" t="s">
        <v>75</v>
      </c>
      <c r="B213" s="131" t="s">
        <v>77</v>
      </c>
      <c r="C213" s="131" t="s">
        <v>76</v>
      </c>
      <c r="D213" s="131" t="s">
        <v>16</v>
      </c>
      <c r="E213" s="130" t="str">
        <f>VLOOKUP(A213:A440,[1]Coefficients!$A$5:$R$232,5,FALSE)</f>
        <v>Scheldelaan</v>
      </c>
      <c r="F213" s="131">
        <f>VLOOKUP(A213:A440,[1]Coefficients!$A$5:$R$232,6,FALSE)</f>
        <v>4</v>
      </c>
      <c r="G213" s="131">
        <f>VLOOKUP(A213:A440,[1]Coefficients!$A$5:$R$232,7,FALSE)</f>
        <v>2030</v>
      </c>
      <c r="H213" s="130" t="str">
        <f>VLOOKUP(A213:A440,[1]Coefficients!$A$5:$R$232,8,FALSE)</f>
        <v>ANTWERPEN</v>
      </c>
      <c r="I213" s="130" t="s">
        <v>75</v>
      </c>
      <c r="J213" s="131" t="s">
        <v>74</v>
      </c>
      <c r="K213" s="130" t="s">
        <v>13</v>
      </c>
      <c r="L213" s="130" t="s">
        <v>6</v>
      </c>
      <c r="M213" s="130">
        <v>1</v>
      </c>
      <c r="N213" s="130">
        <v>0</v>
      </c>
      <c r="O213" s="130">
        <v>0</v>
      </c>
      <c r="P213" s="131" t="str">
        <f>VLOOKUP(A213:A440,[1]Coefficients!$A$5:$T$232,19,FALSE)</f>
        <v>22ZFL004723----1</v>
      </c>
      <c r="Q213" s="131" t="str">
        <f>VLOOKUP(A213:A440,[1]Coefficients!$A$5:$T$232,20,FALSE)</f>
        <v>01/06/2018 - Done</v>
      </c>
      <c r="R213" s="95"/>
    </row>
    <row r="214" spans="1:18" s="94" customFormat="1" ht="20.25" customHeight="1" x14ac:dyDescent="0.2">
      <c r="A214" s="128" t="s">
        <v>71</v>
      </c>
      <c r="B214" s="129" t="s">
        <v>73</v>
      </c>
      <c r="C214" s="129" t="s">
        <v>72</v>
      </c>
      <c r="D214" s="129" t="s">
        <v>16</v>
      </c>
      <c r="E214" s="128" t="str">
        <f>VLOOKUP(A214:A441,[1]Coefficients!$A$5:$R$232,5,FALSE)</f>
        <v>Scheldelaan</v>
      </c>
      <c r="F214" s="129">
        <f>VLOOKUP(A214:A441,[1]Coefficients!$A$5:$R$232,6,FALSE)</f>
        <v>4</v>
      </c>
      <c r="G214" s="129">
        <f>VLOOKUP(A214:A441,[1]Coefficients!$A$5:$R$232,7,FALSE)</f>
        <v>2030</v>
      </c>
      <c r="H214" s="128" t="str">
        <f>VLOOKUP(A214:A441,[1]Coefficients!$A$5:$R$232,8,FALSE)</f>
        <v>ANTWERPEN</v>
      </c>
      <c r="I214" s="128" t="s">
        <v>71</v>
      </c>
      <c r="J214" s="129" t="s">
        <v>70</v>
      </c>
      <c r="K214" s="128" t="s">
        <v>13</v>
      </c>
      <c r="L214" s="128" t="s">
        <v>6</v>
      </c>
      <c r="M214" s="128">
        <v>1</v>
      </c>
      <c r="N214" s="130">
        <v>0</v>
      </c>
      <c r="O214" s="128">
        <v>0</v>
      </c>
      <c r="P214" s="129" t="str">
        <f>VLOOKUP(A214:A441,[1]Coefficients!$A$5:$T$232,19,FALSE)</f>
        <v>57ZFL-007184---P</v>
      </c>
      <c r="Q214" s="129"/>
      <c r="R214" s="95"/>
    </row>
    <row r="215" spans="1:18" s="94" customFormat="1" ht="20.25" customHeight="1" x14ac:dyDescent="0.2">
      <c r="A215" s="130" t="s">
        <v>67</v>
      </c>
      <c r="B215" s="131" t="s">
        <v>69</v>
      </c>
      <c r="C215" s="131" t="s">
        <v>68</v>
      </c>
      <c r="D215" s="131" t="s">
        <v>16</v>
      </c>
      <c r="E215" s="130" t="str">
        <f>VLOOKUP(A215:A442,[1]Coefficients!$A$5:$R$232,5,FALSE)</f>
        <v>Industriepark - Leukaard</v>
      </c>
      <c r="F215" s="131">
        <f>VLOOKUP(A215:A442,[1]Coefficients!$A$5:$R$232,6,FALSE)</f>
        <v>2</v>
      </c>
      <c r="G215" s="131">
        <f>VLOOKUP(A215:A442,[1]Coefficients!$A$5:$R$232,7,FALSE)</f>
        <v>2440</v>
      </c>
      <c r="H215" s="130" t="str">
        <f>VLOOKUP(A215:A442,[1]Coefficients!$A$5:$R$232,8,FALSE)</f>
        <v>GEEL</v>
      </c>
      <c r="I215" s="130" t="s">
        <v>67</v>
      </c>
      <c r="J215" s="131" t="s">
        <v>66</v>
      </c>
      <c r="K215" s="130" t="s">
        <v>13</v>
      </c>
      <c r="L215" s="130" t="s">
        <v>6</v>
      </c>
      <c r="M215" s="130">
        <v>1</v>
      </c>
      <c r="N215" s="130">
        <v>0</v>
      </c>
      <c r="O215" s="130">
        <v>0</v>
      </c>
      <c r="P215" s="131" t="str">
        <f>VLOOKUP(A215:A442,[1]Coefficients!$A$5:$T$232,19,FALSE)</f>
        <v>22ZFL180730----V</v>
      </c>
      <c r="Q215" s="131" t="str">
        <f>VLOOKUP(A215:A442,[1]Coefficients!$A$5:$T$232,20,FALSE)</f>
        <v>01/09/2015 - Done</v>
      </c>
      <c r="R215" s="95"/>
    </row>
    <row r="216" spans="1:18" s="94" customFormat="1" ht="20.25" customHeight="1" x14ac:dyDescent="0.2">
      <c r="A216" s="128" t="s">
        <v>63</v>
      </c>
      <c r="B216" s="129" t="s">
        <v>65</v>
      </c>
      <c r="C216" s="129" t="s">
        <v>64</v>
      </c>
      <c r="D216" s="129" t="s">
        <v>16</v>
      </c>
      <c r="E216" s="128" t="str">
        <f>VLOOKUP(A216:A443,[1]Coefficients!$A$5:$R$232,5,FALSE)</f>
        <v>Klein Terbankstraat</v>
      </c>
      <c r="F216" s="129">
        <f>VLOOKUP(A216:A443,[1]Coefficients!$A$5:$R$232,6,FALSE)</f>
        <v>1</v>
      </c>
      <c r="G216" s="129">
        <f>VLOOKUP(A216:A443,[1]Coefficients!$A$5:$R$232,7,FALSE)</f>
        <v>3150</v>
      </c>
      <c r="H216" s="128" t="str">
        <f>VLOOKUP(A216:A443,[1]Coefficients!$A$5:$R$232,8,FALSE)</f>
        <v>TILDONK</v>
      </c>
      <c r="I216" s="128" t="s">
        <v>63</v>
      </c>
      <c r="J216" s="129" t="s">
        <v>62</v>
      </c>
      <c r="K216" s="128" t="s">
        <v>13</v>
      </c>
      <c r="L216" s="128" t="s">
        <v>19</v>
      </c>
      <c r="M216" s="128">
        <v>1</v>
      </c>
      <c r="N216" s="130">
        <v>0</v>
      </c>
      <c r="O216" s="128">
        <v>0</v>
      </c>
      <c r="P216" s="129" t="str">
        <f>VLOOKUP(A216:A443,[1]Coefficients!$A$5:$T$232,19,FALSE)</f>
        <v>22ZFL13710-----J</v>
      </c>
      <c r="Q216" s="129"/>
      <c r="R216" s="95"/>
    </row>
    <row r="217" spans="1:18" s="94" customFormat="1" ht="20.25" customHeight="1" x14ac:dyDescent="0.2">
      <c r="A217" s="130" t="s">
        <v>1057</v>
      </c>
      <c r="B217" s="131" t="s">
        <v>587</v>
      </c>
      <c r="C217" s="131" t="s">
        <v>586</v>
      </c>
      <c r="D217" s="131" t="s">
        <v>16</v>
      </c>
      <c r="E217" s="130" t="str">
        <f>VLOOKUP(A217:A444,[1]Coefficients!$A$5:$R$232,5,FALSE)</f>
        <v>Avenue Champion</v>
      </c>
      <c r="F217" s="131">
        <f>VLOOKUP(A217:A444,[1]Coefficients!$A$5:$R$232,6,FALSE)</f>
        <v>1</v>
      </c>
      <c r="G217" s="131">
        <f>VLOOKUP(A217:A444,[1]Coefficients!$A$5:$R$232,7,FALSE)</f>
        <v>6790</v>
      </c>
      <c r="H217" s="130" t="str">
        <f>VLOOKUP(A217:A444,[1]Coefficients!$A$5:$R$232,8,FALSE)</f>
        <v>AUBANGE</v>
      </c>
      <c r="I217" s="130" t="s">
        <v>1057</v>
      </c>
      <c r="J217" s="131" t="s">
        <v>585</v>
      </c>
      <c r="K217" s="130" t="s">
        <v>13</v>
      </c>
      <c r="L217" s="130" t="s">
        <v>6</v>
      </c>
      <c r="M217" s="130">
        <v>1</v>
      </c>
      <c r="N217" s="130">
        <v>0</v>
      </c>
      <c r="O217" s="130">
        <v>0</v>
      </c>
      <c r="P217" s="131" t="str">
        <f>VLOOKUP(A217:A444,[1]Coefficients!$A$5:$T$232,19,FALSE)</f>
        <v>22ZFL875510----N</v>
      </c>
      <c r="Q217" s="131"/>
      <c r="R217" s="95"/>
    </row>
    <row r="218" spans="1:18" s="94" customFormat="1" ht="20.25" customHeight="1" x14ac:dyDescent="0.2">
      <c r="A218" s="128" t="s">
        <v>59</v>
      </c>
      <c r="B218" s="129" t="s">
        <v>61</v>
      </c>
      <c r="C218" s="129" t="s">
        <v>60</v>
      </c>
      <c r="D218" s="129" t="s">
        <v>16</v>
      </c>
      <c r="E218" s="128" t="str">
        <f>VLOOKUP(A218:A445,[1]Coefficients!$A$5:$R$232,5,FALSE)</f>
        <v>Havenlaan</v>
      </c>
      <c r="F218" s="129">
        <f>VLOOKUP(A218:A445,[1]Coefficients!$A$5:$R$232,6,FALSE)</f>
        <v>7</v>
      </c>
      <c r="G218" s="129">
        <f>VLOOKUP(A218:A445,[1]Coefficients!$A$5:$R$232,7,FALSE)</f>
        <v>3980</v>
      </c>
      <c r="H218" s="128" t="str">
        <f>VLOOKUP(A218:A445,[1]Coefficients!$A$5:$R$232,8,FALSE)</f>
        <v>TESSENDERLO</v>
      </c>
      <c r="I218" s="128" t="s">
        <v>59</v>
      </c>
      <c r="J218" s="129" t="s">
        <v>58</v>
      </c>
      <c r="K218" s="128" t="s">
        <v>13</v>
      </c>
      <c r="L218" s="128" t="s">
        <v>6</v>
      </c>
      <c r="M218" s="128">
        <v>1</v>
      </c>
      <c r="N218" s="130">
        <v>0</v>
      </c>
      <c r="O218" s="128">
        <v>0</v>
      </c>
      <c r="P218" s="129" t="str">
        <f>VLOOKUP(A218:A445,[1]Coefficients!$A$5:$T$232,19,FALSE)</f>
        <v>22ZFL004697----A</v>
      </c>
      <c r="Q218" s="129" t="str">
        <f>VLOOKUP(A218:A445,[1]Coefficients!$A$5:$T$232,20,FALSE)</f>
        <v>01/09/2015 - Done</v>
      </c>
      <c r="R218" s="95"/>
    </row>
    <row r="219" spans="1:18" s="94" customFormat="1" ht="20.25" customHeight="1" x14ac:dyDescent="0.2">
      <c r="A219" s="130" t="s">
        <v>55</v>
      </c>
      <c r="B219" s="131" t="s">
        <v>57</v>
      </c>
      <c r="C219" s="131" t="s">
        <v>56</v>
      </c>
      <c r="D219" s="131" t="s">
        <v>16</v>
      </c>
      <c r="E219" s="130" t="str">
        <f>VLOOKUP(A219:A446,[1]Coefficients!$A$5:$R$232,5,FALSE)</f>
        <v>A. Greinerstraat</v>
      </c>
      <c r="F219" s="131">
        <f>VLOOKUP(A219:A446,[1]Coefficients!$A$5:$R$232,6,FALSE)</f>
        <v>14</v>
      </c>
      <c r="G219" s="131">
        <f>VLOOKUP(A219:A446,[1]Coefficients!$A$5:$R$232,7,FALSE)</f>
        <v>2260</v>
      </c>
      <c r="H219" s="130" t="str">
        <f>VLOOKUP(A219:A446,[1]Coefficients!$A$5:$R$232,8,FALSE)</f>
        <v>HOBOKEN</v>
      </c>
      <c r="I219" s="130" t="s">
        <v>55</v>
      </c>
      <c r="J219" s="131" t="s">
        <v>54</v>
      </c>
      <c r="K219" s="130" t="s">
        <v>13</v>
      </c>
      <c r="L219" s="130" t="s">
        <v>6</v>
      </c>
      <c r="M219" s="130">
        <v>1</v>
      </c>
      <c r="N219" s="128">
        <v>1</v>
      </c>
      <c r="O219" s="130">
        <v>0</v>
      </c>
      <c r="P219" s="131" t="str">
        <f>VLOOKUP(A219:A446,[1]Coefficients!$A$5:$T$232,19,FALSE)</f>
        <v>22ZFL004722----7</v>
      </c>
      <c r="Q219" s="131" t="str">
        <f>VLOOKUP(A219:A446,[1]Coefficients!$A$5:$T$232,20,FALSE)</f>
        <v>01/06/2018 - Done</v>
      </c>
      <c r="R219" s="95"/>
    </row>
    <row r="220" spans="1:18" s="94" customFormat="1" ht="20.25" customHeight="1" x14ac:dyDescent="0.2">
      <c r="A220" s="128" t="s">
        <v>51</v>
      </c>
      <c r="B220" s="129" t="s">
        <v>53</v>
      </c>
      <c r="C220" s="129" t="s">
        <v>52</v>
      </c>
      <c r="D220" s="129" t="s">
        <v>16</v>
      </c>
      <c r="E220" s="128" t="str">
        <f>VLOOKUP(A220:A447,[1]Coefficients!$A$5:$R$232,5,FALSE)</f>
        <v>Watertorenstraat</v>
      </c>
      <c r="F220" s="129">
        <f>VLOOKUP(A220:A447,[1]Coefficients!$A$5:$R$232,6,FALSE)</f>
        <v>33</v>
      </c>
      <c r="G220" s="129">
        <f>VLOOKUP(A220:A447,[1]Coefficients!$A$5:$R$232,7,FALSE)</f>
        <v>2250</v>
      </c>
      <c r="H220" s="128" t="str">
        <f>VLOOKUP(A220:A447,[1]Coefficients!$A$5:$R$232,8,FALSE)</f>
        <v>OLEN</v>
      </c>
      <c r="I220" s="128" t="s">
        <v>51</v>
      </c>
      <c r="J220" s="129" t="s">
        <v>50</v>
      </c>
      <c r="K220" s="128" t="s">
        <v>13</v>
      </c>
      <c r="L220" s="128" t="s">
        <v>6</v>
      </c>
      <c r="M220" s="128">
        <v>1</v>
      </c>
      <c r="N220" s="130">
        <v>0</v>
      </c>
      <c r="O220" s="128">
        <v>0</v>
      </c>
      <c r="P220" s="129" t="str">
        <f>VLOOKUP(A220:A447,[1]Coefficients!$A$5:$T$232,19,FALSE)</f>
        <v>22ZFL004708----M</v>
      </c>
      <c r="Q220" s="129" t="str">
        <f>VLOOKUP(A220:A447,[1]Coefficients!$A$5:$T$232,20,FALSE)</f>
        <v xml:space="preserve">01/09/2015 - Done
</v>
      </c>
      <c r="R220" s="95"/>
    </row>
    <row r="221" spans="1:18" s="94" customFormat="1" ht="20.25" customHeight="1" x14ac:dyDescent="0.2">
      <c r="A221" s="130" t="s">
        <v>47</v>
      </c>
      <c r="B221" s="131" t="s">
        <v>49</v>
      </c>
      <c r="C221" s="131" t="s">
        <v>48</v>
      </c>
      <c r="D221" s="131" t="s">
        <v>16</v>
      </c>
      <c r="E221" s="130" t="str">
        <f>VLOOKUP(A221:A448,[1]Coefficients!$A$5:$R$232,5,FALSE)</f>
        <v>maeghermanstraat</v>
      </c>
      <c r="F221" s="131">
        <f>VLOOKUP(A221:A448,[1]Coefficients!$A$5:$R$232,6,FALSE)</f>
        <v>30</v>
      </c>
      <c r="G221" s="131">
        <f>VLOOKUP(A221:A448,[1]Coefficients!$A$5:$R$232,7,FALSE)</f>
        <v>9600</v>
      </c>
      <c r="H221" s="130" t="str">
        <f>VLOOKUP(A221:A448,[1]Coefficients!$A$5:$R$232,8,FALSE)</f>
        <v>RONSE</v>
      </c>
      <c r="I221" s="130" t="s">
        <v>47</v>
      </c>
      <c r="J221" s="131" t="s">
        <v>46</v>
      </c>
      <c r="K221" s="130" t="s">
        <v>13</v>
      </c>
      <c r="L221" s="130" t="s">
        <v>6</v>
      </c>
      <c r="M221" s="130">
        <v>1</v>
      </c>
      <c r="N221" s="128">
        <v>1</v>
      </c>
      <c r="O221" s="130">
        <v>1</v>
      </c>
      <c r="P221" s="131" t="str">
        <f>VLOOKUP(A221:A448,[1]Coefficients!$A$5:$T$232,19,FALSE)</f>
        <v>22ZFL444110----R</v>
      </c>
      <c r="Q221" s="131"/>
      <c r="R221" s="95"/>
    </row>
    <row r="222" spans="1:18" s="94" customFormat="1" ht="20.25" customHeight="1" x14ac:dyDescent="0.2">
      <c r="A222" s="128" t="s">
        <v>43</v>
      </c>
      <c r="B222" s="129" t="s">
        <v>45</v>
      </c>
      <c r="C222" s="129" t="s">
        <v>44</v>
      </c>
      <c r="D222" s="129" t="s">
        <v>16</v>
      </c>
      <c r="E222" s="128" t="str">
        <f>VLOOKUP(A222:A449,[1]Coefficients!$A$5:$R$232,5,FALSE)</f>
        <v>Nijverheidslaan</v>
      </c>
      <c r="F222" s="129">
        <f>VLOOKUP(A222:A449,[1]Coefficients!$A$5:$R$232,6,FALSE)</f>
        <v>11</v>
      </c>
      <c r="G222" s="129">
        <f>VLOOKUP(A222:A449,[1]Coefficients!$A$5:$R$232,7,FALSE)</f>
        <v>3650</v>
      </c>
      <c r="H222" s="128" t="str">
        <f>VLOOKUP(A222:A449,[1]Coefficients!$A$5:$R$232,8,FALSE)</f>
        <v>DILSEN-STOKEM</v>
      </c>
      <c r="I222" s="128" t="s">
        <v>43</v>
      </c>
      <c r="J222" s="129" t="s">
        <v>42</v>
      </c>
      <c r="K222" s="128" t="s">
        <v>13</v>
      </c>
      <c r="L222" s="128" t="s">
        <v>6</v>
      </c>
      <c r="M222" s="128">
        <v>1</v>
      </c>
      <c r="N222" s="130">
        <v>0</v>
      </c>
      <c r="O222" s="128">
        <v>0</v>
      </c>
      <c r="P222" s="129" t="str">
        <f>VLOOKUP(A222:A449,[1]Coefficients!$A$5:$T$232,19,FALSE)</f>
        <v>22ZFL004705----3</v>
      </c>
      <c r="Q222" s="129"/>
      <c r="R222" s="95"/>
    </row>
    <row r="223" spans="1:18" s="94" customFormat="1" ht="20.25" customHeight="1" x14ac:dyDescent="0.2">
      <c r="A223" s="130" t="s">
        <v>41</v>
      </c>
      <c r="B223" s="131" t="s">
        <v>40</v>
      </c>
      <c r="C223" s="131" t="s">
        <v>39</v>
      </c>
      <c r="D223" s="131" t="s">
        <v>16</v>
      </c>
      <c r="E223" s="130" t="str">
        <f>VLOOKUP(A223:A450,[1]Coefficients!$A$5:$R$232,5,FALSE)</f>
        <v>Maatheide</v>
      </c>
      <c r="F223" s="131">
        <f>VLOOKUP(A223:A450,[1]Coefficients!$A$5:$R$232,6,FALSE)</f>
        <v>81</v>
      </c>
      <c r="G223" s="131">
        <f>VLOOKUP(A223:A450,[1]Coefficients!$A$5:$R$232,7,FALSE)</f>
        <v>3920</v>
      </c>
      <c r="H223" s="130" t="str">
        <f>VLOOKUP(A223:A450,[1]Coefficients!$A$5:$R$232,8,FALSE)</f>
        <v>LOMMEL</v>
      </c>
      <c r="I223" s="130" t="s">
        <v>38</v>
      </c>
      <c r="J223" s="131" t="s">
        <v>37</v>
      </c>
      <c r="K223" s="130" t="s">
        <v>13</v>
      </c>
      <c r="L223" s="130" t="s">
        <v>6</v>
      </c>
      <c r="M223" s="130">
        <v>1</v>
      </c>
      <c r="N223" s="130">
        <v>0</v>
      </c>
      <c r="O223" s="130">
        <v>0</v>
      </c>
      <c r="P223" s="131" t="str">
        <f>VLOOKUP(A223:A450,[1]Coefficients!$A$5:$T$232,19,FALSE)</f>
        <v>22ZFL004694----S</v>
      </c>
      <c r="Q223" s="131" t="str">
        <f>VLOOKUP(A223:A450,[1]Coefficients!$A$5:$T$232,20,FALSE)</f>
        <v xml:space="preserve">01/06/2016 - Done
</v>
      </c>
      <c r="R223" s="95"/>
    </row>
    <row r="224" spans="1:18" s="94" customFormat="1" ht="20.25" customHeight="1" x14ac:dyDescent="0.2">
      <c r="A224" s="128" t="s">
        <v>33</v>
      </c>
      <c r="B224" s="129" t="s">
        <v>36</v>
      </c>
      <c r="C224" s="129" t="s">
        <v>35</v>
      </c>
      <c r="D224" s="129" t="s">
        <v>16</v>
      </c>
      <c r="E224" s="128" t="str">
        <f>VLOOKUP(A224:A451,[1]Coefficients!$A$5:$R$232,5,FALSE)</f>
        <v>J.F. Kennedylaan</v>
      </c>
      <c r="F224" s="129">
        <f>VLOOKUP(A224:A451,[1]Coefficients!$A$5:$R$232,6,FALSE)</f>
        <v>25</v>
      </c>
      <c r="G224" s="129">
        <f>VLOOKUP(A224:A451,[1]Coefficients!$A$5:$R$232,7,FALSE)</f>
        <v>9000</v>
      </c>
      <c r="H224" s="128" t="str">
        <f>VLOOKUP(A224:A451,[1]Coefficients!$A$5:$R$232,8,FALSE)</f>
        <v>GENT</v>
      </c>
      <c r="I224" s="128" t="s">
        <v>33</v>
      </c>
      <c r="J224" s="129" t="s">
        <v>32</v>
      </c>
      <c r="K224" s="128" t="s">
        <v>13</v>
      </c>
      <c r="L224" s="128" t="s">
        <v>6</v>
      </c>
      <c r="M224" s="128">
        <v>1</v>
      </c>
      <c r="N224" s="128">
        <v>1</v>
      </c>
      <c r="O224" s="128">
        <v>1</v>
      </c>
      <c r="P224" s="129" t="str">
        <f>VLOOKUP(A224:A451,[1]Coefficients!$A$5:$T$232,19,FALSE)</f>
        <v>22ZFL004742----U</v>
      </c>
      <c r="Q224" s="129"/>
      <c r="R224" s="95"/>
    </row>
    <row r="225" spans="1:18" s="94" customFormat="1" ht="20.25" customHeight="1" x14ac:dyDescent="0.2">
      <c r="A225" s="130" t="s">
        <v>29</v>
      </c>
      <c r="B225" s="131" t="s">
        <v>31</v>
      </c>
      <c r="C225" s="131" t="s">
        <v>30</v>
      </c>
      <c r="D225" s="131" t="s">
        <v>16</v>
      </c>
      <c r="E225" s="130" t="str">
        <f>VLOOKUP(A225:A452,[1]Coefficients!$A$5:$R$232,5,FALSE)</f>
        <v>Industrieweg</v>
      </c>
      <c r="F225" s="131">
        <f>VLOOKUP(A225:A452,[1]Coefficients!$A$5:$R$232,6,FALSE)</f>
        <v>16</v>
      </c>
      <c r="G225" s="131">
        <f>VLOOKUP(A225:A452,[1]Coefficients!$A$5:$R$232,7,FALSE)</f>
        <v>2030</v>
      </c>
      <c r="H225" s="130" t="str">
        <f>VLOOKUP(A225:A452,[1]Coefficients!$A$5:$R$232,8,FALSE)</f>
        <v>ANTWERPEN</v>
      </c>
      <c r="I225" s="130" t="s">
        <v>29</v>
      </c>
      <c r="J225" s="131" t="s">
        <v>28</v>
      </c>
      <c r="K225" s="130" t="s">
        <v>13</v>
      </c>
      <c r="L225" s="130" t="s">
        <v>19</v>
      </c>
      <c r="M225" s="130">
        <v>1</v>
      </c>
      <c r="N225" s="130">
        <v>0</v>
      </c>
      <c r="O225" s="130">
        <v>0</v>
      </c>
      <c r="P225" s="131" t="str">
        <f>VLOOKUP(A225:A452,[1]Coefficients!$A$5:$T$232,19,FALSE)</f>
        <v>57ZFL007179----D</v>
      </c>
      <c r="Q225" s="131"/>
      <c r="R225" s="95"/>
    </row>
    <row r="226" spans="1:18" s="94" customFormat="1" ht="20.25" customHeight="1" x14ac:dyDescent="0.2">
      <c r="A226" s="128" t="s">
        <v>25</v>
      </c>
      <c r="B226" s="129" t="s">
        <v>27</v>
      </c>
      <c r="C226" s="129" t="s">
        <v>26</v>
      </c>
      <c r="D226" s="129" t="s">
        <v>16</v>
      </c>
      <c r="E226" s="128" t="str">
        <f>VLOOKUP(A226:A453,[1]Coefficients!$A$5:$R$232,5,FALSE)</f>
        <v>Heilig Hartlaan - Industriepark Schoonhees</v>
      </c>
      <c r="F226" s="129">
        <f>VLOOKUP(A226:A453,[1]Coefficients!$A$5:$R$232,6,FALSE)</f>
        <v>2030</v>
      </c>
      <c r="G226" s="129">
        <f>VLOOKUP(A226:A453,[1]Coefficients!$A$5:$R$232,7,FALSE)</f>
        <v>3980</v>
      </c>
      <c r="H226" s="128" t="str">
        <f>VLOOKUP(A226:A453,[1]Coefficients!$A$5:$R$232,8,FALSE)</f>
        <v>TESSENDERLO</v>
      </c>
      <c r="I226" s="128" t="s">
        <v>25</v>
      </c>
      <c r="J226" s="129" t="s">
        <v>24</v>
      </c>
      <c r="K226" s="128" t="s">
        <v>13</v>
      </c>
      <c r="L226" s="128" t="s">
        <v>19</v>
      </c>
      <c r="M226" s="128">
        <v>1</v>
      </c>
      <c r="N226" s="130">
        <v>0</v>
      </c>
      <c r="O226" s="128">
        <v>0</v>
      </c>
      <c r="P226" s="129" t="str">
        <f>VLOOKUP(A226:A453,[1]Coefficients!$A$5:$T$232,19,FALSE)</f>
        <v>22ZFL004700----X</v>
      </c>
      <c r="Q226" s="129"/>
      <c r="R226" s="95"/>
    </row>
    <row r="227" spans="1:18" s="94" customFormat="1" ht="20.25" customHeight="1" x14ac:dyDescent="0.2">
      <c r="A227" s="130" t="s">
        <v>21</v>
      </c>
      <c r="B227" s="131" t="s">
        <v>23</v>
      </c>
      <c r="C227" s="131" t="s">
        <v>22</v>
      </c>
      <c r="D227" s="131" t="s">
        <v>16</v>
      </c>
      <c r="E227" s="130" t="str">
        <f>VLOOKUP(A227:A454,[1]Coefficients!$A$5:$R$232,5,FALSE)</f>
        <v>2de Carabinierslaan</v>
      </c>
      <c r="F227" s="131" t="str">
        <f>VLOOKUP(A227:A454,[1]Coefficients!$A$5:$R$232,6,FALSE)</f>
        <v>145</v>
      </c>
      <c r="G227" s="131">
        <f>VLOOKUP(A227:A454,[1]Coefficients!$A$5:$R$232,7,FALSE)</f>
        <v>3620</v>
      </c>
      <c r="H227" s="130" t="str">
        <f>VLOOKUP(A227:A454,[1]Coefficients!$A$5:$R$232,8,FALSE)</f>
        <v>VELDWEZELT</v>
      </c>
      <c r="I227" s="130" t="s">
        <v>21</v>
      </c>
      <c r="J227" s="131" t="s">
        <v>20</v>
      </c>
      <c r="K227" s="130" t="s">
        <v>13</v>
      </c>
      <c r="L227" s="130" t="s">
        <v>19</v>
      </c>
      <c r="M227" s="130">
        <v>0</v>
      </c>
      <c r="N227" s="128">
        <v>1</v>
      </c>
      <c r="O227" s="130">
        <v>0</v>
      </c>
      <c r="P227" s="131" t="str">
        <f>VLOOKUP(A227:A454,[1]Coefficients!$A$5:$T$232,19,FALSE)</f>
        <v>22ZFL1003342---U</v>
      </c>
      <c r="Q227" s="131"/>
      <c r="R227" s="95"/>
    </row>
    <row r="228" spans="1:18" s="94" customFormat="1" ht="20.25" customHeight="1" x14ac:dyDescent="0.2">
      <c r="A228" s="128" t="s">
        <v>15</v>
      </c>
      <c r="B228" s="129" t="s">
        <v>18</v>
      </c>
      <c r="C228" s="129" t="s">
        <v>17</v>
      </c>
      <c r="D228" s="129" t="s">
        <v>16</v>
      </c>
      <c r="E228" s="128" t="str">
        <f>VLOOKUP(A228:A455,[1]Coefficients!$A$5:$R$232,5,FALSE)</f>
        <v>Rue de la Carbo</v>
      </c>
      <c r="F228" s="129">
        <f>VLOOKUP(A228:A455,[1]Coefficients!$A$5:$R$232,6,FALSE)</f>
        <v>10</v>
      </c>
      <c r="G228" s="129">
        <f>VLOOKUP(A228:A455,[1]Coefficients!$A$5:$R$232,7,FALSE)</f>
        <v>7333</v>
      </c>
      <c r="H228" s="128" t="str">
        <f>VLOOKUP(A228:A455,[1]Coefficients!$A$5:$R$232,8,FALSE)</f>
        <v>TERTRE</v>
      </c>
      <c r="I228" s="128" t="s">
        <v>15</v>
      </c>
      <c r="J228" s="129" t="s">
        <v>14</v>
      </c>
      <c r="K228" s="128" t="s">
        <v>13</v>
      </c>
      <c r="L228" s="128" t="s">
        <v>6</v>
      </c>
      <c r="M228" s="128">
        <v>1</v>
      </c>
      <c r="N228" s="130">
        <v>0</v>
      </c>
      <c r="O228" s="128">
        <v>0</v>
      </c>
      <c r="P228" s="129" t="str">
        <f>VLOOKUP(A228:A455,[1]Coefficients!$A$5:$T$232,19,FALSE)</f>
        <v>22ZFL711910----O</v>
      </c>
      <c r="Q228" s="129"/>
      <c r="R228" s="95"/>
    </row>
    <row r="229" spans="1:18" s="94" customFormat="1" ht="20.25" customHeight="1" x14ac:dyDescent="0.2">
      <c r="A229" s="130" t="s">
        <v>9</v>
      </c>
      <c r="B229" s="131" t="s">
        <v>12</v>
      </c>
      <c r="C229" s="131" t="s">
        <v>11</v>
      </c>
      <c r="D229" s="131" t="s">
        <v>10</v>
      </c>
      <c r="E229" s="130" t="str">
        <f>VLOOKUP(A229:A456,[1]Coefficients!$A$5:$R$232,5,FALSE)</f>
        <v>Haven 726 Scheldelaan</v>
      </c>
      <c r="F229" s="131">
        <f>VLOOKUP(A229:A456,[1]Coefficients!$A$5:$R$232,6,FALSE)</f>
        <v>600</v>
      </c>
      <c r="G229" s="131">
        <f>VLOOKUP(A229:A456,[1]Coefficients!$A$5:$R$232,7,FALSE)</f>
        <v>2040</v>
      </c>
      <c r="H229" s="130" t="str">
        <f>VLOOKUP(A229:A456,[1]Coefficients!$A$5:$R$232,8,FALSE)</f>
        <v>ANTWERPEN</v>
      </c>
      <c r="I229" s="130" t="s">
        <v>9</v>
      </c>
      <c r="J229" s="131" t="s">
        <v>8</v>
      </c>
      <c r="K229" s="130" t="s">
        <v>7</v>
      </c>
      <c r="L229" s="130" t="s">
        <v>6</v>
      </c>
      <c r="M229" s="130">
        <v>1</v>
      </c>
      <c r="N229" s="130">
        <v>0</v>
      </c>
      <c r="O229" s="130">
        <v>0</v>
      </c>
      <c r="P229" s="131" t="str">
        <f>VLOOKUP(A229:A456,[1]Coefficients!$A$5:$T$232,19,FALSE)</f>
        <v>22ZFL005822----R</v>
      </c>
      <c r="Q229" s="131"/>
      <c r="R229" s="95"/>
    </row>
  </sheetData>
  <sheetProtection selectLockedCells="1" selectUnlockedCells="1"/>
  <autoFilter ref="A1:R1" xr:uid="{CF3005A0-2729-4AF5-9110-19635DFEAF2B}">
    <sortState ref="A2:R229">
      <sortCondition ref="A1"/>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9 2 4 B T 6 4 m t W G o A A A A + Q A A A B I A H A B D b 2 5 m a W c v U G F j a 2 F n Z S 5 4 b W w g o h g A K K A U A A A A A A A A A A A A A A A A A A A A A A A A A A A A h Y / N C o J A G E V f R W b v / E l R 8 j l C L d o k B E G 0 H c Z J h 3 Q M Z 0 z f r U W P 1 C s k l N W u 5 b 2 c C + c + b n d I h 7 o K r r p 1 p r E J Y p i i Q F v V 5 M Y W C e r 8 K V y g V M B O q r M s d D D C 1 s W D M w k q v b / E h P R 9 j / s I N 2 1 B O K W M H L P t X p W 6 l q G x z k u r N P q s 8 v 8 r J O D w k h E c z x m e s S X H L K I M y N R D Z u y X 4 a M y p k B + S l h 3 l e 9 a L b Q N N y s g U w T y v i G e U E s D B B Q A A g A I A P d u A 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3 b g F P K I p H u A 4 A A A A R A A A A E w A c A E Z v c m 1 1 b G F z L 1 N l Y 3 R p b 2 4 x L m 0 g o h g A K K A U A A A A A A A A A A A A A A A A A A A A A A A A A A A A K 0 5 N L s n M z 1 M I h t C G 1 g B Q S w E C L Q A U A A I A C A D 3 b g F P r i a 1 Y a g A A A D 5 A A A A E g A A A A A A A A A A A A A A A A A A A A A A Q 2 9 u Z m l n L 1 B h Y 2 t h Z 2 U u e G 1 s U E s B A i 0 A F A A C A A g A 9 2 4 B T w / K 6 a u k A A A A 6 Q A A A B M A A A A A A A A A A A A A A A A A 9 A A A A F t D b 2 5 0 Z W 5 0 X 1 R 5 c G V z X S 5 4 b W x Q S w E C L Q A U A A I A C A D 3 b g F 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S 6 N k E p E u b U m 0 Q k Y 7 Z d s 4 N w A A A A A C A A A A A A A D Z g A A w A A A A B A A A A A v g G 4 z / m C x w M 1 G 3 I R 3 9 t R y A A A A A A S A A A C g A A A A E A A A A I V T y E A Q x 4 1 z S P P I N 0 9 D 1 Q 9 Q A A A A I W 7 V 0 q 9 r D E T e V 1 D H y 0 H Y n 4 d Q x X G h R K s T K f E K w 5 C q G D G Q q m B H r A z 3 B a e e S 2 6 0 7 a T 8 O V G f r 3 M M Z r i v F V P w O q X X k 9 X f H + k d b R u X y l h F W y W k G X M U A A A A W 7 h N g 7 o G X z N 1 k j 4 e Z Z g Z w y h z I T A = < / D a t a M a s h u p > 
</file>

<file path=customXml/itemProps1.xml><?xml version="1.0" encoding="utf-8"?>
<ds:datastoreItem xmlns:ds="http://schemas.openxmlformats.org/officeDocument/2006/customXml" ds:itemID="{9D6D9F23-C344-48E0-B100-8F4A776685C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Simulation</vt:lpstr>
    </vt:vector>
  </TitlesOfParts>
  <Company>Fluxys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 request from</dc:title>
  <dc:creator>boivinp</dc:creator>
  <dc:description>transportation request form</dc:description>
  <cp:lastModifiedBy>Cassiers Corentin</cp:lastModifiedBy>
  <cp:lastPrinted>2011-03-02T08:42:06Z</cp:lastPrinted>
  <dcterms:created xsi:type="dcterms:W3CDTF">2005-02-08T08:04:03Z</dcterms:created>
  <dcterms:modified xsi:type="dcterms:W3CDTF">2019-08-02T10:03:58Z</dcterms:modified>
</cp:coreProperties>
</file>